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12" windowHeight="8688" activeTab="2"/>
  </bookViews>
  <sheets>
    <sheet name="2017" sheetId="1" r:id="rId1"/>
    <sheet name="2018" sheetId="2" r:id="rId2"/>
    <sheet name="2019" sheetId="3" r:id="rId3"/>
    <sheet name="НПn2017" sheetId="4" r:id="rId4"/>
    <sheet name="НПn2018" sheetId="5" r:id="rId5"/>
    <sheet name="НПn2019" sheetId="6" r:id="rId6"/>
    <sheet name="ПНД" sheetId="7" r:id="rId7"/>
    <sheet name="q1q2" sheetId="8" r:id="rId8"/>
    <sheet name="а1 а2 а3" sheetId="9" r:id="rId9"/>
  </sheets>
  <definedNames/>
  <calcPr fullCalcOnLoad="1"/>
</workbook>
</file>

<file path=xl/sharedStrings.xml><?xml version="1.0" encoding="utf-8"?>
<sst xmlns="http://schemas.openxmlformats.org/spreadsheetml/2006/main" count="386" uniqueCount="154">
  <si>
    <t>Сельские поселения</t>
  </si>
  <si>
    <t>Горноправдинск</t>
  </si>
  <si>
    <t>Селиярово</t>
  </si>
  <si>
    <t>Шапша</t>
  </si>
  <si>
    <t>Цингалы</t>
  </si>
  <si>
    <t>Нялино</t>
  </si>
  <si>
    <t>Сибирский</t>
  </si>
  <si>
    <t>Красноленинский</t>
  </si>
  <si>
    <t>Выкатное</t>
  </si>
  <si>
    <t>Кедровый</t>
  </si>
  <si>
    <t>Кышик</t>
  </si>
  <si>
    <t>Согом</t>
  </si>
  <si>
    <t>ИТОГО по району</t>
  </si>
  <si>
    <t>НПn</t>
  </si>
  <si>
    <t>Луговской</t>
  </si>
  <si>
    <r>
      <t xml:space="preserve">Численность населения, проживающего в населенных пунктах с числ.населения не более 500 чел.      </t>
    </r>
    <r>
      <rPr>
        <b/>
        <sz val="10"/>
        <rFont val="Times New Roman"/>
        <family val="1"/>
      </rPr>
      <t>Hn500 (H500</t>
    </r>
    <r>
      <rPr>
        <sz val="10"/>
        <rFont val="Times New Roman"/>
        <family val="1"/>
      </rPr>
      <t>)</t>
    </r>
  </si>
  <si>
    <r>
      <t xml:space="preserve">Коэф-т дисперсности </t>
    </r>
    <r>
      <rPr>
        <b/>
        <sz val="10"/>
        <rFont val="Times New Roman"/>
        <family val="1"/>
      </rPr>
      <t>Kn дисп</t>
    </r>
  </si>
  <si>
    <r>
      <t xml:space="preserve">Коэффициент дифференциации расходов на содержание жилого фонда в поселении      </t>
    </r>
    <r>
      <rPr>
        <b/>
        <sz val="10"/>
        <rFont val="Times New Roman"/>
        <family val="1"/>
      </rPr>
      <t>Kn жф</t>
    </r>
  </si>
  <si>
    <r>
      <t xml:space="preserve">Средняя  численность  постоянного  населения  поселений, входящих  в состав территории муниципального района     </t>
    </r>
    <r>
      <rPr>
        <b/>
        <sz val="10"/>
        <rFont val="Times New Roman"/>
        <family val="1"/>
      </rPr>
      <t>Нср</t>
    </r>
  </si>
  <si>
    <r>
      <t xml:space="preserve">Весовой коэффициент, устанавливае-мый уполномочен-ным органом местного самоуправления                                   </t>
    </r>
    <r>
      <rPr>
        <b/>
        <sz val="10"/>
        <rFont val="Times New Roman"/>
        <family val="1"/>
      </rPr>
      <t>С</t>
    </r>
  </si>
  <si>
    <r>
      <t xml:space="preserve">Коэф-т масштаба поселения      </t>
    </r>
    <r>
      <rPr>
        <b/>
        <sz val="10"/>
        <rFont val="Times New Roman"/>
        <family val="1"/>
      </rPr>
      <t>Кnм</t>
    </r>
  </si>
  <si>
    <r>
      <t xml:space="preserve">Доля расходов  на муниципальное управление и организацию оказания услуг в области культуры           </t>
    </r>
    <r>
      <rPr>
        <b/>
        <sz val="10"/>
        <rFont val="Times New Roman"/>
        <family val="1"/>
      </rPr>
      <t>a1</t>
    </r>
  </si>
  <si>
    <r>
      <t xml:space="preserve">Доля расходов на содержание муниципального жилого фонда   </t>
    </r>
    <r>
      <rPr>
        <b/>
        <sz val="10"/>
        <rFont val="Times New Roman"/>
        <family val="1"/>
      </rPr>
      <t>a2</t>
    </r>
  </si>
  <si>
    <r>
      <t xml:space="preserve">Доля других видов расходов  </t>
    </r>
    <r>
      <rPr>
        <b/>
        <sz val="10"/>
        <rFont val="Times New Roman"/>
        <family val="1"/>
      </rPr>
      <t>a3</t>
    </r>
  </si>
  <si>
    <r>
      <t xml:space="preserve">Экономически обоснованные тарифы  на водоснабжение и водоотведение                              </t>
    </r>
    <r>
      <rPr>
        <b/>
        <sz val="10"/>
        <rFont val="Times New Roman"/>
        <family val="1"/>
      </rPr>
      <t>Тn вод (Твод)</t>
    </r>
  </si>
  <si>
    <r>
      <t xml:space="preserve">Экономически обоснованные тарифы на электроэнергию   </t>
    </r>
    <r>
      <rPr>
        <b/>
        <sz val="10"/>
        <rFont val="Times New Roman"/>
        <family val="1"/>
      </rPr>
      <t>Тn эл (Тэл)</t>
    </r>
  </si>
  <si>
    <r>
      <t xml:space="preserve">Экономически обоснованные тарифы на теплоснабжение          </t>
    </r>
    <r>
      <rPr>
        <b/>
        <sz val="10"/>
        <rFont val="Times New Roman"/>
        <family val="1"/>
      </rPr>
      <t>Тn тепл (Ттепл)</t>
    </r>
  </si>
  <si>
    <r>
      <t xml:space="preserve">Коэф-т стоимости предоставления коммунальных услуг              </t>
    </r>
    <r>
      <rPr>
        <b/>
        <sz val="10"/>
        <rFont val="Times New Roman"/>
        <family val="1"/>
      </rPr>
      <t>Kn ку</t>
    </r>
  </si>
  <si>
    <r>
      <t xml:space="preserve">Удельный вес сельского населения поселения  </t>
    </r>
    <r>
      <rPr>
        <b/>
        <sz val="10"/>
        <rFont val="Times New Roman"/>
        <family val="1"/>
      </rPr>
      <t>УВСНn (УВСН)</t>
    </r>
  </si>
  <si>
    <r>
      <t xml:space="preserve">Коэффициент заработной платы в поселении        </t>
    </r>
    <r>
      <rPr>
        <b/>
        <sz val="10"/>
        <rFont val="Times New Roman"/>
        <family val="1"/>
      </rPr>
      <t>Kn  зп</t>
    </r>
  </si>
  <si>
    <r>
      <t xml:space="preserve">Расчетный удельный вес расходов на оплату труда и начисления на выплаты по оплате труда в среднем по бюджетам всех поселений     </t>
    </r>
    <r>
      <rPr>
        <b/>
        <sz val="10"/>
        <rFont val="Times New Roman"/>
        <family val="1"/>
      </rPr>
      <t>q1</t>
    </r>
  </si>
  <si>
    <r>
      <t xml:space="preserve">Расчетный удельный вес расходов на коммунальные услуги в среднем по бюджетам всех поселений          </t>
    </r>
    <r>
      <rPr>
        <b/>
        <sz val="10"/>
        <rFont val="Times New Roman"/>
        <family val="1"/>
      </rPr>
      <t>q2</t>
    </r>
  </si>
  <si>
    <r>
      <t xml:space="preserve">Коэффициент стоимости предоставления муниципальных услуг в поселении           </t>
    </r>
    <r>
      <rPr>
        <b/>
        <sz val="10"/>
        <rFont val="Times New Roman"/>
        <family val="1"/>
      </rPr>
      <t>Kn стоим</t>
    </r>
  </si>
  <si>
    <r>
      <t xml:space="preserve">Коэффициент структуры потребителей муниципальных услуг поселения     </t>
    </r>
    <r>
      <rPr>
        <b/>
        <sz val="10"/>
        <rFont val="Times New Roman"/>
        <family val="1"/>
      </rPr>
      <t>Kn стр</t>
    </r>
  </si>
  <si>
    <t>(Кn стоим*Kn стр*Hn)</t>
  </si>
  <si>
    <t>ПДj           НДФЛ</t>
  </si>
  <si>
    <t>НОРМj                  НДФЛ</t>
  </si>
  <si>
    <t>БНnj                    НДФЛ</t>
  </si>
  <si>
    <t>НПnj                         НДФЛ</t>
  </si>
  <si>
    <t>НОРМj                  Налог на имущество физических лиц</t>
  </si>
  <si>
    <t>БНnj                    Налог на имущество физических лиц</t>
  </si>
  <si>
    <t>НПnj                         Налог на имущество физических лиц</t>
  </si>
  <si>
    <t>ПДj                       Налог на имущество физических лиц</t>
  </si>
  <si>
    <t>ПДj                       Земельный налог</t>
  </si>
  <si>
    <t>НОРМj                  Земельный налог</t>
  </si>
  <si>
    <t>БНnj                    Земельный налог</t>
  </si>
  <si>
    <t>НПnj                         Земельный налог</t>
  </si>
  <si>
    <r>
      <t xml:space="preserve">Налоговый потенциал поселения     </t>
    </r>
    <r>
      <rPr>
        <b/>
        <sz val="10"/>
        <rFont val="Times New Roman"/>
        <family val="1"/>
      </rPr>
      <t>НПn (НП)</t>
    </r>
  </si>
  <si>
    <r>
      <rPr>
        <sz val="10"/>
        <rFont val="Times New Roman"/>
        <family val="1"/>
      </rPr>
      <t xml:space="preserve">Индекс налогового потенциала поселения </t>
    </r>
    <r>
      <rPr>
        <b/>
        <sz val="10"/>
        <rFont val="Times New Roman"/>
        <family val="1"/>
      </rPr>
      <t xml:space="preserve"> ИНПn</t>
    </r>
  </si>
  <si>
    <r>
      <t xml:space="preserve">Часть районного фонда финансовой поддержки поселений, сформированная за счет собственных средств бюджета района, включая субсидию на формирование районных фондов финансовой поддержки поселений                </t>
    </r>
    <r>
      <rPr>
        <b/>
        <sz val="10"/>
        <rFont val="Times New Roman"/>
        <family val="1"/>
      </rPr>
      <t>Д2</t>
    </r>
  </si>
  <si>
    <r>
      <rPr>
        <sz val="10"/>
        <rFont val="Times New Roman"/>
        <family val="1"/>
      </rPr>
      <t xml:space="preserve">Индекс бюджетных расходов поселения  </t>
    </r>
    <r>
      <rPr>
        <b/>
        <sz val="10"/>
        <rFont val="Times New Roman"/>
        <family val="1"/>
      </rPr>
      <t>ИБРn</t>
    </r>
  </si>
  <si>
    <r>
      <t xml:space="preserve">Уровень расчетной бюджетной обеспеченности поселения </t>
    </r>
    <r>
      <rPr>
        <b/>
        <sz val="10"/>
        <rFont val="Times New Roman"/>
        <family val="1"/>
      </rPr>
      <t>БОn</t>
    </r>
  </si>
  <si>
    <r>
      <rPr>
        <sz val="10"/>
        <rFont val="Times New Roman"/>
        <family val="1"/>
      </rPr>
      <t xml:space="preserve">Прогноз налоговых доходов бюджетов поселений </t>
    </r>
    <r>
      <rPr>
        <b/>
        <sz val="10"/>
        <rFont val="Times New Roman"/>
        <family val="1"/>
      </rPr>
      <t>ПНД</t>
    </r>
  </si>
  <si>
    <r>
      <t xml:space="preserve">Уровень расчетной бюджетной обеспеченности, установленный в качестве критерия выравнивания расчетной бюджетной обеспеченности поселений                </t>
    </r>
    <r>
      <rPr>
        <b/>
        <sz val="10"/>
        <rFont val="Times New Roman"/>
        <family val="1"/>
      </rPr>
      <t>БО кр</t>
    </r>
  </si>
  <si>
    <r>
      <t xml:space="preserve">Объём средств, необходимых для доведения уровня расчетной бюджетной обеспеченности поселения до уровня, установленного в качестве критерия выравнивания расчетной бюджетной обеспеченности поселений                    </t>
    </r>
    <r>
      <rPr>
        <b/>
        <sz val="10"/>
        <rFont val="Times New Roman"/>
        <family val="1"/>
      </rPr>
      <t>Tn</t>
    </r>
  </si>
  <si>
    <r>
      <rPr>
        <sz val="10"/>
        <rFont val="Times New Roman"/>
        <family val="1"/>
      </rPr>
      <t xml:space="preserve">Размер второй части дотации на выравнивание бюджетной обеспеченности                               </t>
    </r>
    <r>
      <rPr>
        <b/>
        <sz val="10"/>
        <rFont val="Times New Roman"/>
        <family val="1"/>
      </rPr>
      <t>Д2n</t>
    </r>
  </si>
  <si>
    <r>
      <t xml:space="preserve">Размер субвенции бюджету муниципального района из бюджета автономного округа на предоставление дотаций на выравнивание бюджетной обеспеченности поселений за счет средств бюджета автономного округа  </t>
    </r>
    <r>
      <rPr>
        <b/>
        <sz val="10"/>
        <rFont val="Times New Roman"/>
        <family val="1"/>
      </rPr>
      <t>Субв</t>
    </r>
  </si>
  <si>
    <r>
      <t xml:space="preserve">Размер первой части дотации на выравнивание бюджетной обеспеченности поселений                        </t>
    </r>
    <r>
      <rPr>
        <b/>
        <sz val="10"/>
        <rFont val="Times New Roman"/>
        <family val="1"/>
      </rPr>
      <t>Д1n</t>
    </r>
  </si>
  <si>
    <r>
      <t xml:space="preserve">Размер дотации на выравнивание бюджетной обеспеченности поселению                             </t>
    </r>
    <r>
      <rPr>
        <b/>
        <sz val="10"/>
        <rFont val="Times New Roman"/>
        <family val="1"/>
      </rPr>
      <t>Дn</t>
    </r>
  </si>
  <si>
    <r>
      <t xml:space="preserve">Площадь жилого фонда поселения </t>
    </r>
    <r>
      <rPr>
        <b/>
        <sz val="10"/>
        <rFont val="Times New Roman"/>
        <family val="1"/>
      </rPr>
      <t>Пnжф (Пжф)</t>
    </r>
  </si>
  <si>
    <t>Налог на доходы физических лиц (по нормативу 10%)</t>
  </si>
  <si>
    <t>Налог на имущество физических лиц</t>
  </si>
  <si>
    <t>Земельный налог</t>
  </si>
  <si>
    <t>Сельское поселение Горноправдинск</t>
  </si>
  <si>
    <t>Сельское поселение Селиярово</t>
  </si>
  <si>
    <t>Сельское поселение Шапша</t>
  </si>
  <si>
    <t xml:space="preserve">Сельское поселение Кышик </t>
  </si>
  <si>
    <t>Сельское поселение Нялинское</t>
  </si>
  <si>
    <t>Сельское поселение Красноленинский</t>
  </si>
  <si>
    <t>Сельское поселение Кедровый</t>
  </si>
  <si>
    <t>Сельское поселение Луговской</t>
  </si>
  <si>
    <t>Сельское поселение Цингалы</t>
  </si>
  <si>
    <t>Сельское поселение Сибирский</t>
  </si>
  <si>
    <t>Сельское поселение Выкатной</t>
  </si>
  <si>
    <t>Сельское поселение Согом</t>
  </si>
  <si>
    <t>ИТОГО</t>
  </si>
  <si>
    <t>ИТОГО по  налогам</t>
  </si>
  <si>
    <t>тыс. руб.</t>
  </si>
  <si>
    <t>Наименование</t>
  </si>
  <si>
    <t>Статья</t>
  </si>
  <si>
    <t>Выкатной</t>
  </si>
  <si>
    <t>Нялинское</t>
  </si>
  <si>
    <t>Итого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</si>
  <si>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</si>
  <si>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</si>
  <si>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</si>
  <si>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</si>
  <si>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</si>
  <si>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</si>
  <si>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</si>
  <si>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</si>
  <si>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</si>
  <si>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241</t>
  </si>
  <si>
    <t>242</t>
  </si>
  <si>
    <t>251</t>
  </si>
  <si>
    <t>262</t>
  </si>
  <si>
    <t>263</t>
  </si>
  <si>
    <t>290</t>
  </si>
  <si>
    <t>310</t>
  </si>
  <si>
    <t>340</t>
  </si>
  <si>
    <t>ВСЕГО</t>
  </si>
  <si>
    <t>211+213</t>
  </si>
  <si>
    <t>q1</t>
  </si>
  <si>
    <t>q2</t>
  </si>
  <si>
    <t>РАЗДЕЛ</t>
  </si>
  <si>
    <t>0100</t>
  </si>
  <si>
    <t>0300</t>
  </si>
  <si>
    <t>0400</t>
  </si>
  <si>
    <t>0500</t>
  </si>
  <si>
    <t>0600</t>
  </si>
  <si>
    <t>0700</t>
  </si>
  <si>
    <t>0800</t>
  </si>
  <si>
    <t>1000</t>
  </si>
  <si>
    <t>1100</t>
  </si>
  <si>
    <t>0100+0800</t>
  </si>
  <si>
    <t>а1</t>
  </si>
  <si>
    <t>а2</t>
  </si>
  <si>
    <t>Фактическое исполнение расходов на муниципальное управление и организацию оказания услуг в области культуры</t>
  </si>
  <si>
    <t>Фактическое исполнение расходов на содержание муниципального жилого фонда</t>
  </si>
  <si>
    <t>Фактическое исполнение других видов расходов</t>
  </si>
  <si>
    <t>а3</t>
  </si>
  <si>
    <t>РАЗДЕЛ 0501</t>
  </si>
  <si>
    <t>справочно</t>
  </si>
  <si>
    <t>в том числе</t>
  </si>
  <si>
    <t>0200</t>
  </si>
  <si>
    <t>Председатель комитета по финансам:                                                                 Т.Ю. Горелик</t>
  </si>
  <si>
    <t>Председатель комитета по финансам                                                                 Т.Ю Горелик</t>
  </si>
  <si>
    <t>Расчет распределения дотации на 2017 год</t>
  </si>
  <si>
    <t>на 2017 год</t>
  </si>
  <si>
    <t>Расчет налогового потенциала поселений на 2017 год</t>
  </si>
  <si>
    <r>
      <t xml:space="preserve">Весовой коэффициент, устанавливаемый уполномочен-ным органом местного самоуправления                                   </t>
    </r>
    <r>
      <rPr>
        <b/>
        <sz val="10"/>
        <rFont val="Times New Roman"/>
        <family val="1"/>
      </rPr>
      <t>С</t>
    </r>
  </si>
  <si>
    <t>(Тn вод * Нn)</t>
  </si>
  <si>
    <t>(Тn тепл * Hn)</t>
  </si>
  <si>
    <t>(Тn эл * Hn)</t>
  </si>
  <si>
    <t>Расчет распределения дотации на 2018 год</t>
  </si>
  <si>
    <t>Расчет налогового потенциала поселений на 2018 год</t>
  </si>
  <si>
    <t>на 2018 год</t>
  </si>
  <si>
    <t>2209601</t>
  </si>
  <si>
    <t>7029601</t>
  </si>
  <si>
    <t>Расчет распределения дотации на 2019 год</t>
  </si>
  <si>
    <t>Расчет налогового потенциала поселений на 2019 год</t>
  </si>
  <si>
    <t>Прогноз налоговых доходов бюджетов поселений (ПНД) на 2017-2019 годы</t>
  </si>
  <si>
    <t>Фактическое исполнение бюджета по сельским поселения района за 2015 год по экономическим статьям</t>
  </si>
  <si>
    <t xml:space="preserve">Фактическое исполнению бюджета по сельским поселениям района за 2015 год по разделам бюджетной классификации </t>
  </si>
  <si>
    <r>
      <t xml:space="preserve">Численность постоянного населения  на 01.01.2016 г.                                      </t>
    </r>
    <r>
      <rPr>
        <b/>
        <sz val="10"/>
        <rFont val="Times New Roman"/>
        <family val="1"/>
      </rPr>
      <t>Hn (H)</t>
    </r>
  </si>
  <si>
    <r>
      <t xml:space="preserve">Численность сельского населения на 01.01.2016 г.               </t>
    </r>
    <r>
      <rPr>
        <b/>
        <sz val="10"/>
        <rFont val="Times New Roman"/>
        <family val="1"/>
      </rPr>
      <t>Hn (H)</t>
    </r>
  </si>
  <si>
    <t>на 2019 год</t>
  </si>
  <si>
    <t>1109101</t>
  </si>
  <si>
    <t>1218101</t>
  </si>
  <si>
    <t>2209101</t>
  </si>
  <si>
    <t>7029101</t>
  </si>
  <si>
    <t>7029301</t>
  </si>
  <si>
    <r>
      <t xml:space="preserve">Численность постоянного населения  на 01.01.2016 г.  </t>
    </r>
    <r>
      <rPr>
        <b/>
        <sz val="10"/>
        <rFont val="Times New Roman"/>
        <family val="1"/>
      </rPr>
      <t>Hn (H)</t>
    </r>
  </si>
  <si>
    <r>
      <t xml:space="preserve">Численность сельского населения на 01.01.2016 г.  </t>
    </r>
    <r>
      <rPr>
        <b/>
        <sz val="10"/>
        <rFont val="Times New Roman"/>
        <family val="1"/>
      </rPr>
      <t>Hn (H)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</si>
</sst>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_р_._-;\-* #,##0_р_._-;_-* &quot;-&quot;??_р_._-;_-@_-"/>
    <numFmt numFmtId="175" formatCode="_-* #,##0.0_р_._-;\-* #,##0.0_р_._-;_-* &quot;-&quot;?_р_._-;_-@_-"/>
    <numFmt numFmtId="176" formatCode="_-* #,##0.000_р_._-;\-* #,##0.000_р_._-;_-* &quot;-&quot;???_р_._-;_-@_-"/>
    <numFmt numFmtId="177" formatCode="0.0%"/>
    <numFmt numFmtId="178" formatCode="#,##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 ;[Red]\-#,##0.0\ "/>
    <numFmt numFmtId="191" formatCode="#,##0.00_ ;[Red]\-#,##0.00\ "/>
    <numFmt numFmtId="192" formatCode="0.000000000000000"/>
    <numFmt numFmtId="193" formatCode="0.0000000000000000000"/>
    <numFmt numFmtId="194" formatCode="#,##0.00;[Red]\-#,##0.00;0.00"/>
    <numFmt numFmtId="195" formatCode="\&gt;\A\A.\A\A"/>
    <numFmt numFmtId="196" formatCode="\&gt;\A\A\A"/>
    <numFmt numFmtId="197" formatCode="_-* #,##0.0_р_._-;\-* #,##0.0_р_._-;_-* &quot;-&quot;??_р_._-;_-@_-"/>
    <numFmt numFmtId="198" formatCode="#,##0.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00206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7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172" fontId="69" fillId="0" borderId="0" xfId="0" applyNumberFormat="1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3" fillId="0" borderId="0" xfId="0" applyNumberFormat="1" applyFont="1" applyAlignment="1">
      <alignment vertical="center" wrapText="1"/>
    </xf>
    <xf numFmtId="2" fontId="74" fillId="0" borderId="0" xfId="0" applyNumberFormat="1" applyFont="1" applyAlignment="1">
      <alignment horizontal="center" vertical="center" wrapText="1"/>
    </xf>
    <xf numFmtId="2" fontId="75" fillId="0" borderId="0" xfId="0" applyNumberFormat="1" applyFont="1" applyAlignment="1">
      <alignment vertical="center" wrapText="1"/>
    </xf>
    <xf numFmtId="2" fontId="76" fillId="0" borderId="0" xfId="0" applyNumberFormat="1" applyFont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vertical="center" wrapText="1"/>
    </xf>
    <xf numFmtId="173" fontId="4" fillId="0" borderId="10" xfId="65" applyNumberFormat="1" applyFont="1" applyFill="1" applyBorder="1" applyAlignment="1">
      <alignment vertical="center" wrapText="1"/>
    </xf>
    <xf numFmtId="173" fontId="4" fillId="33" borderId="10" xfId="65" applyNumberFormat="1" applyFont="1" applyFill="1" applyBorder="1" applyAlignment="1">
      <alignment vertical="center" wrapText="1"/>
    </xf>
    <xf numFmtId="172" fontId="4" fillId="33" borderId="10" xfId="65" applyNumberFormat="1" applyFont="1" applyFill="1" applyBorder="1" applyAlignment="1">
      <alignment vertical="center" wrapText="1"/>
    </xf>
    <xf numFmtId="173" fontId="5" fillId="0" borderId="10" xfId="65" applyNumberFormat="1" applyFont="1" applyFill="1" applyBorder="1" applyAlignment="1">
      <alignment vertical="center" wrapText="1"/>
    </xf>
    <xf numFmtId="173" fontId="5" fillId="33" borderId="10" xfId="65" applyNumberFormat="1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3" fontId="4" fillId="35" borderId="10" xfId="65" applyNumberFormat="1" applyFont="1" applyFill="1" applyBorder="1" applyAlignment="1">
      <alignment vertical="center" wrapText="1"/>
    </xf>
    <xf numFmtId="173" fontId="5" fillId="35" borderId="10" xfId="65" applyNumberFormat="1" applyFont="1" applyFill="1" applyBorder="1" applyAlignment="1">
      <alignment vertical="center" wrapText="1"/>
    </xf>
    <xf numFmtId="173" fontId="6" fillId="35" borderId="10" xfId="0" applyNumberFormat="1" applyFont="1" applyFill="1" applyBorder="1" applyAlignment="1">
      <alignment horizontal="center" vertical="center" wrapText="1"/>
    </xf>
    <xf numFmtId="173" fontId="6" fillId="36" borderId="10" xfId="0" applyNumberFormat="1" applyFont="1" applyFill="1" applyBorder="1" applyAlignment="1">
      <alignment horizontal="center" vertical="center" wrapText="1"/>
    </xf>
    <xf numFmtId="173" fontId="77" fillId="33" borderId="10" xfId="65" applyNumberFormat="1" applyFont="1" applyFill="1" applyBorder="1" applyAlignment="1">
      <alignment vertical="center" wrapText="1"/>
    </xf>
    <xf numFmtId="173" fontId="4" fillId="34" borderId="10" xfId="65" applyNumberFormat="1" applyFont="1" applyFill="1" applyBorder="1" applyAlignment="1">
      <alignment vertical="center" wrapText="1"/>
    </xf>
    <xf numFmtId="2" fontId="73" fillId="0" borderId="0" xfId="0" applyNumberFormat="1" applyFont="1" applyFill="1" applyAlignment="1">
      <alignment vertic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59" fillId="34" borderId="0" xfId="0" applyNumberFormat="1" applyFont="1" applyFill="1" applyAlignment="1">
      <alignment/>
    </xf>
    <xf numFmtId="0" fontId="59" fillId="34" borderId="0" xfId="0" applyFont="1" applyFill="1" applyAlignment="1">
      <alignment horizontal="center"/>
    </xf>
    <xf numFmtId="1" fontId="0" fillId="0" borderId="0" xfId="0" applyNumberFormat="1" applyAlignment="1">
      <alignment/>
    </xf>
    <xf numFmtId="2" fontId="59" fillId="34" borderId="0" xfId="0" applyNumberFormat="1" applyFont="1" applyFill="1" applyBorder="1" applyAlignment="1">
      <alignment/>
    </xf>
    <xf numFmtId="2" fontId="59" fillId="34" borderId="0" xfId="0" applyNumberFormat="1" applyFont="1" applyFill="1" applyBorder="1" applyAlignment="1">
      <alignment horizontal="right" vertical="center"/>
    </xf>
    <xf numFmtId="185" fontId="0" fillId="0" borderId="0" xfId="0" applyNumberFormat="1" applyAlignment="1">
      <alignment/>
    </xf>
    <xf numFmtId="0" fontId="7" fillId="0" borderId="0" xfId="33" applyFont="1" applyFill="1" applyAlignment="1" applyProtection="1">
      <alignment vertical="center" wrapText="1"/>
      <protection/>
    </xf>
    <xf numFmtId="0" fontId="78" fillId="0" borderId="0" xfId="0" applyFont="1" applyFill="1" applyAlignment="1" applyProtection="1">
      <alignment vertical="center" wrapText="1"/>
      <protection/>
    </xf>
    <xf numFmtId="0" fontId="7" fillId="0" borderId="0" xfId="33" applyFont="1" applyFill="1" applyAlignment="1" applyProtection="1">
      <alignment horizontal="center" vertical="center" wrapText="1"/>
      <protection/>
    </xf>
    <xf numFmtId="0" fontId="11" fillId="33" borderId="10" xfId="56" applyFont="1" applyFill="1" applyBorder="1" applyAlignment="1" applyProtection="1">
      <alignment horizontal="center" vertical="center" wrapText="1"/>
      <protection/>
    </xf>
    <xf numFmtId="0" fontId="11" fillId="35" borderId="10" xfId="56" applyFont="1" applyFill="1" applyBorder="1" applyAlignment="1" applyProtection="1">
      <alignment horizontal="center" vertical="center" wrapText="1"/>
      <protection/>
    </xf>
    <xf numFmtId="0" fontId="11" fillId="36" borderId="10" xfId="56" applyFont="1" applyFill="1" applyBorder="1" applyAlignment="1" applyProtection="1">
      <alignment horizontal="center" vertical="center" wrapText="1"/>
      <protection/>
    </xf>
    <xf numFmtId="185" fontId="9" fillId="33" borderId="10" xfId="33" applyNumberFormat="1" applyFont="1" applyFill="1" applyBorder="1" applyAlignment="1" applyProtection="1">
      <alignment horizontal="center" vertical="center" wrapText="1"/>
      <protection/>
    </xf>
    <xf numFmtId="185" fontId="9" fillId="35" borderId="10" xfId="33" applyNumberFormat="1" applyFont="1" applyFill="1" applyBorder="1" applyAlignment="1" applyProtection="1">
      <alignment horizontal="center" vertical="center" wrapText="1"/>
      <protection/>
    </xf>
    <xf numFmtId="185" fontId="9" fillId="36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vertical="center" wrapText="1"/>
      <protection/>
    </xf>
    <xf numFmtId="185" fontId="9" fillId="33" borderId="10" xfId="33" applyNumberFormat="1" applyFont="1" applyFill="1" applyBorder="1" applyAlignment="1" applyProtection="1">
      <alignment vertical="center" wrapText="1"/>
      <protection/>
    </xf>
    <xf numFmtId="185" fontId="9" fillId="35" borderId="10" xfId="33" applyNumberFormat="1" applyFont="1" applyFill="1" applyBorder="1" applyAlignment="1" applyProtection="1">
      <alignment vertical="center" wrapText="1"/>
      <protection/>
    </xf>
    <xf numFmtId="185" fontId="9" fillId="36" borderId="10" xfId="33" applyNumberFormat="1" applyFont="1" applyFill="1" applyBorder="1" applyAlignment="1" applyProtection="1">
      <alignment vertical="center" wrapText="1"/>
      <protection/>
    </xf>
    <xf numFmtId="0" fontId="9" fillId="0" borderId="0" xfId="33" applyFont="1" applyFill="1" applyAlignment="1" applyProtection="1">
      <alignment vertical="center" wrapText="1"/>
      <protection/>
    </xf>
    <xf numFmtId="185" fontId="12" fillId="0" borderId="0" xfId="0" applyNumberFormat="1" applyFont="1" applyFill="1" applyAlignment="1">
      <alignment vertical="center" wrapText="1"/>
    </xf>
    <xf numFmtId="185" fontId="4" fillId="33" borderId="10" xfId="65" applyNumberFormat="1" applyFont="1" applyFill="1" applyBorder="1" applyAlignment="1">
      <alignment vertical="center" wrapText="1"/>
    </xf>
    <xf numFmtId="185" fontId="5" fillId="0" borderId="10" xfId="65" applyNumberFormat="1" applyFont="1" applyFill="1" applyBorder="1" applyAlignment="1">
      <alignment vertical="center" wrapText="1"/>
    </xf>
    <xf numFmtId="185" fontId="79" fillId="33" borderId="10" xfId="65" applyNumberFormat="1" applyFont="1" applyFill="1" applyBorder="1" applyAlignment="1">
      <alignment vertical="center" wrapText="1"/>
    </xf>
    <xf numFmtId="185" fontId="79" fillId="34" borderId="10" xfId="65" applyNumberFormat="1" applyFont="1" applyFill="1" applyBorder="1" applyAlignment="1">
      <alignment vertical="center" wrapText="1"/>
    </xf>
    <xf numFmtId="185" fontId="77" fillId="34" borderId="10" xfId="65" applyNumberFormat="1" applyFont="1" applyFill="1" applyBorder="1" applyAlignment="1">
      <alignment vertical="center" wrapText="1"/>
    </xf>
    <xf numFmtId="185" fontId="4" fillId="34" borderId="10" xfId="65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4" fontId="4" fillId="36" borderId="10" xfId="65" applyNumberFormat="1" applyFont="1" applyFill="1" applyBorder="1" applyAlignment="1">
      <alignment vertical="center" wrapText="1"/>
    </xf>
    <xf numFmtId="4" fontId="5" fillId="36" borderId="10" xfId="65" applyNumberFormat="1" applyFont="1" applyFill="1" applyBorder="1" applyAlignment="1">
      <alignment vertical="center" wrapText="1"/>
    </xf>
    <xf numFmtId="185" fontId="6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0" fontId="44" fillId="0" borderId="1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4" fillId="0" borderId="10" xfId="65" applyNumberFormat="1" applyFont="1" applyFill="1" applyBorder="1" applyAlignment="1">
      <alignment vertical="center" wrapText="1"/>
    </xf>
    <xf numFmtId="174" fontId="4" fillId="0" borderId="10" xfId="65" applyNumberFormat="1" applyFont="1" applyFill="1" applyBorder="1" applyAlignment="1">
      <alignment vertical="center" wrapText="1"/>
    </xf>
    <xf numFmtId="2" fontId="5" fillId="33" borderId="10" xfId="65" applyNumberFormat="1" applyFont="1" applyFill="1" applyBorder="1" applyAlignment="1">
      <alignment vertical="center" wrapText="1"/>
    </xf>
    <xf numFmtId="172" fontId="4" fillId="34" borderId="10" xfId="65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4" fillId="0" borderId="10" xfId="33" applyNumberFormat="1" applyFont="1" applyFill="1" applyBorder="1">
      <alignment/>
      <protection/>
    </xf>
    <xf numFmtId="174" fontId="5" fillId="0" borderId="10" xfId="65" applyNumberFormat="1" applyFont="1" applyFill="1" applyBorder="1" applyAlignment="1">
      <alignment vertical="center" wrapText="1"/>
    </xf>
    <xf numFmtId="172" fontId="5" fillId="33" borderId="10" xfId="65" applyNumberFormat="1" applyFont="1" applyFill="1" applyBorder="1" applyAlignment="1">
      <alignment vertical="center" wrapText="1"/>
    </xf>
    <xf numFmtId="2" fontId="5" fillId="0" borderId="10" xfId="65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172" fontId="4" fillId="0" borderId="10" xfId="65" applyNumberFormat="1" applyFont="1" applyFill="1" applyBorder="1" applyAlignment="1">
      <alignment vertical="center" wrapText="1"/>
    </xf>
    <xf numFmtId="172" fontId="5" fillId="0" borderId="10" xfId="65" applyNumberFormat="1" applyFont="1" applyFill="1" applyBorder="1" applyAlignment="1">
      <alignment vertical="center" wrapText="1"/>
    </xf>
    <xf numFmtId="2" fontId="4" fillId="36" borderId="10" xfId="65" applyNumberFormat="1" applyFont="1" applyFill="1" applyBorder="1" applyAlignment="1">
      <alignment vertical="center" wrapText="1"/>
    </xf>
    <xf numFmtId="2" fontId="5" fillId="36" borderId="10" xfId="65" applyNumberFormat="1" applyFont="1" applyFill="1" applyBorder="1" applyAlignment="1">
      <alignment vertical="center" wrapText="1"/>
    </xf>
    <xf numFmtId="185" fontId="5" fillId="34" borderId="10" xfId="65" applyNumberFormat="1" applyFont="1" applyFill="1" applyBorder="1" applyAlignment="1">
      <alignment vertical="center" wrapText="1"/>
    </xf>
    <xf numFmtId="185" fontId="45" fillId="0" borderId="10" xfId="0" applyNumberFormat="1" applyFont="1" applyFill="1" applyBorder="1" applyAlignment="1">
      <alignment horizontal="center" vertical="center"/>
    </xf>
    <xf numFmtId="185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85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185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/>
    </xf>
    <xf numFmtId="49" fontId="44" fillId="0" borderId="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49" fontId="44" fillId="0" borderId="10" xfId="0" applyNumberFormat="1" applyFont="1" applyBorder="1" applyAlignment="1">
      <alignment horizontal="center" wrapText="1"/>
    </xf>
    <xf numFmtId="185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/>
    </xf>
    <xf numFmtId="185" fontId="44" fillId="0" borderId="10" xfId="0" applyNumberFormat="1" applyFont="1" applyBorder="1" applyAlignment="1">
      <alignment/>
    </xf>
    <xf numFmtId="172" fontId="5" fillId="0" borderId="10" xfId="65" applyNumberFormat="1" applyFont="1" applyFill="1" applyBorder="1" applyAlignment="1" applyProtection="1">
      <alignment vertical="center" wrapText="1"/>
      <protection locked="0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85" fontId="4" fillId="0" borderId="10" xfId="65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85" fontId="46" fillId="0" borderId="0" xfId="0" applyNumberFormat="1" applyFont="1" applyBorder="1" applyAlignment="1">
      <alignment horizontal="center"/>
    </xf>
    <xf numFmtId="185" fontId="46" fillId="0" borderId="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85" fontId="47" fillId="0" borderId="10" xfId="0" applyNumberFormat="1" applyFont="1" applyFill="1" applyBorder="1" applyAlignment="1">
      <alignment horizontal="center"/>
    </xf>
    <xf numFmtId="194" fontId="47" fillId="0" borderId="12" xfId="54" applyNumberFormat="1" applyFont="1" applyFill="1" applyBorder="1" applyAlignment="1" applyProtection="1">
      <alignment vertical="center"/>
      <protection/>
    </xf>
    <xf numFmtId="194" fontId="47" fillId="0" borderId="13" xfId="54" applyNumberFormat="1" applyFont="1" applyFill="1" applyBorder="1" applyAlignment="1" applyProtection="1">
      <alignment vertical="center"/>
      <protection/>
    </xf>
    <xf numFmtId="194" fontId="47" fillId="0" borderId="14" xfId="54" applyNumberFormat="1" applyFont="1" applyFill="1" applyBorder="1" applyAlignment="1" applyProtection="1">
      <alignment vertical="center"/>
      <protection/>
    </xf>
    <xf numFmtId="194" fontId="47" fillId="0" borderId="11" xfId="54" applyNumberFormat="1" applyFont="1" applyFill="1" applyBorder="1" applyAlignment="1" applyProtection="1">
      <alignment vertical="center"/>
      <protection/>
    </xf>
    <xf numFmtId="0" fontId="59" fillId="0" borderId="10" xfId="0" applyFont="1" applyBorder="1" applyAlignment="1">
      <alignment horizontal="center" vertical="center" wrapText="1"/>
    </xf>
    <xf numFmtId="194" fontId="14" fillId="0" borderId="15" xfId="54" applyNumberFormat="1" applyFont="1" applyFill="1" applyBorder="1" applyAlignment="1" applyProtection="1">
      <alignment vertical="center"/>
      <protection/>
    </xf>
    <xf numFmtId="194" fontId="14" fillId="0" borderId="14" xfId="54" applyNumberFormat="1" applyFont="1" applyFill="1" applyBorder="1" applyAlignment="1" applyProtection="1">
      <alignment vertical="center"/>
      <protection/>
    </xf>
    <xf numFmtId="0" fontId="7" fillId="0" borderId="10" xfId="54" applyBorder="1">
      <alignment/>
      <protection/>
    </xf>
    <xf numFmtId="185" fontId="10" fillId="33" borderId="10" xfId="56" applyNumberFormat="1" applyFont="1" applyFill="1" applyBorder="1" applyAlignment="1" applyProtection="1">
      <alignment horizontal="center" vertical="center" wrapText="1"/>
      <protection/>
    </xf>
    <xf numFmtId="185" fontId="10" fillId="35" borderId="10" xfId="56" applyNumberFormat="1" applyFont="1" applyFill="1" applyBorder="1" applyAlignment="1" applyProtection="1">
      <alignment horizontal="center" vertical="center" wrapText="1"/>
      <protection/>
    </xf>
    <xf numFmtId="185" fontId="10" fillId="36" borderId="10" xfId="56" applyNumberFormat="1" applyFont="1" applyFill="1" applyBorder="1" applyAlignment="1" applyProtection="1">
      <alignment horizontal="center" vertical="center" wrapText="1"/>
      <protection/>
    </xf>
    <xf numFmtId="173" fontId="10" fillId="33" borderId="10" xfId="65" applyNumberFormat="1" applyFont="1" applyFill="1" applyBorder="1" applyAlignment="1" applyProtection="1">
      <alignment vertical="center" wrapText="1"/>
      <protection/>
    </xf>
    <xf numFmtId="173" fontId="10" fillId="35" borderId="10" xfId="65" applyNumberFormat="1" applyFont="1" applyFill="1" applyBorder="1" applyAlignment="1" applyProtection="1">
      <alignment vertical="center" wrapText="1"/>
      <protection/>
    </xf>
    <xf numFmtId="173" fontId="10" fillId="36" borderId="10" xfId="65" applyNumberFormat="1" applyFont="1" applyFill="1" applyBorder="1" applyAlignment="1" applyProtection="1">
      <alignment vertical="center" wrapText="1"/>
      <protection/>
    </xf>
    <xf numFmtId="173" fontId="5" fillId="34" borderId="10" xfId="65" applyNumberFormat="1" applyFont="1" applyFill="1" applyBorder="1" applyAlignment="1">
      <alignment vertical="center" wrapText="1"/>
    </xf>
    <xf numFmtId="173" fontId="5" fillId="34" borderId="10" xfId="65" applyNumberFormat="1" applyFont="1" applyFill="1" applyBorder="1" applyAlignment="1" applyProtection="1">
      <alignment vertical="center" wrapText="1"/>
      <protection locked="0"/>
    </xf>
    <xf numFmtId="172" fontId="2" fillId="37" borderId="10" xfId="0" applyNumberFormat="1" applyFont="1" applyFill="1" applyBorder="1" applyAlignment="1">
      <alignment horizontal="center" vertical="center" wrapText="1"/>
    </xf>
    <xf numFmtId="185" fontId="4" fillId="37" borderId="10" xfId="65" applyNumberFormat="1" applyFont="1" applyFill="1" applyBorder="1" applyAlignment="1" applyProtection="1">
      <alignment vertical="center" wrapText="1"/>
      <protection locked="0"/>
    </xf>
    <xf numFmtId="185" fontId="5" fillId="37" borderId="10" xfId="65" applyNumberFormat="1" applyFont="1" applyFill="1" applyBorder="1" applyAlignment="1">
      <alignment vertical="center" wrapText="1"/>
    </xf>
    <xf numFmtId="0" fontId="7" fillId="37" borderId="10" xfId="33" applyNumberFormat="1" applyFont="1" applyFill="1" applyBorder="1" applyAlignment="1" applyProtection="1">
      <alignment horizontal="left" vertical="center" wrapText="1"/>
      <protection/>
    </xf>
    <xf numFmtId="194" fontId="14" fillId="0" borderId="14" xfId="55" applyNumberFormat="1" applyFont="1" applyFill="1" applyBorder="1" applyAlignment="1" applyProtection="1">
      <alignment vertical="center"/>
      <protection/>
    </xf>
    <xf numFmtId="174" fontId="14" fillId="0" borderId="14" xfId="65" applyNumberFormat="1" applyFont="1" applyFill="1" applyBorder="1" applyAlignment="1" applyProtection="1">
      <alignment vertical="center"/>
      <protection/>
    </xf>
    <xf numFmtId="194" fontId="14" fillId="0" borderId="11" xfId="55" applyNumberFormat="1" applyFont="1" applyFill="1" applyBorder="1" applyAlignment="1" applyProtection="1">
      <alignment vertical="center"/>
      <protection/>
    </xf>
    <xf numFmtId="197" fontId="45" fillId="0" borderId="10" xfId="65" applyNumberFormat="1" applyFont="1" applyBorder="1" applyAlignment="1">
      <alignment/>
    </xf>
    <xf numFmtId="194" fontId="47" fillId="38" borderId="14" xfId="54" applyNumberFormat="1" applyFont="1" applyFill="1" applyBorder="1" applyAlignment="1" applyProtection="1">
      <alignment vertical="center"/>
      <protection/>
    </xf>
    <xf numFmtId="194" fontId="47" fillId="38" borderId="11" xfId="54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>
      <alignment vertical="center" wrapText="1"/>
    </xf>
    <xf numFmtId="172" fontId="6" fillId="38" borderId="0" xfId="0" applyNumberFormat="1" applyFont="1" applyFill="1" applyAlignment="1">
      <alignment vertical="center" wrapText="1"/>
    </xf>
    <xf numFmtId="185" fontId="12" fillId="38" borderId="0" xfId="0" applyNumberFormat="1" applyFont="1" applyFill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10" fillId="0" borderId="10" xfId="57" applyFont="1" applyFill="1" applyBorder="1" applyAlignment="1" applyProtection="1">
      <alignment horizontal="center" vertical="center" wrapText="1"/>
      <protection/>
    </xf>
    <xf numFmtId="49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Alignment="1" applyProtection="1">
      <alignment horizontal="center" vertical="center" wrapText="1"/>
      <protection/>
    </xf>
    <xf numFmtId="0" fontId="80" fillId="10" borderId="0" xfId="0" applyFont="1" applyFill="1" applyAlignment="1">
      <alignment horizontal="center"/>
    </xf>
    <xf numFmtId="0" fontId="81" fillId="11" borderId="0" xfId="0" applyFont="1" applyFill="1" applyAlignment="1">
      <alignment horizontal="center"/>
    </xf>
    <xf numFmtId="0" fontId="50" fillId="13" borderId="16" xfId="0" applyFont="1" applyFill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12.Приложение 1- свод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zoomScaleSheetLayoutView="110" zoomScalePageLayoutView="0" workbookViewId="0" topLeftCell="A1">
      <pane xSplit="1" topLeftCell="B1" activePane="topRight" state="frozen"/>
      <selection pane="topLeft" activeCell="A3" sqref="A3"/>
      <selection pane="topRight" activeCell="AL20" sqref="AL20"/>
    </sheetView>
  </sheetViews>
  <sheetFormatPr defaultColWidth="9.140625" defaultRowHeight="15"/>
  <cols>
    <col min="1" max="1" width="26.28125" style="78" customWidth="1"/>
    <col min="2" max="3" width="11.7109375" style="78" customWidth="1"/>
    <col min="4" max="4" width="11.421875" style="78" customWidth="1"/>
    <col min="5" max="6" width="13.421875" style="78" customWidth="1"/>
    <col min="7" max="7" width="12.8515625" style="23" customWidth="1"/>
    <col min="8" max="8" width="11.7109375" style="23" customWidth="1"/>
    <col min="9" max="9" width="15.28125" style="23" customWidth="1"/>
    <col min="10" max="11" width="13.57421875" style="23" customWidth="1"/>
    <col min="12" max="12" width="14.8515625" style="23" customWidth="1"/>
    <col min="13" max="14" width="13.57421875" style="23" customWidth="1"/>
    <col min="15" max="16" width="15.28125" style="90" customWidth="1"/>
    <col min="17" max="18" width="14.140625" style="90" customWidth="1"/>
    <col min="19" max="20" width="15.28125" style="90" customWidth="1"/>
    <col min="21" max="32" width="11.7109375" style="23" customWidth="1"/>
    <col min="33" max="34" width="16.28125" style="23" customWidth="1"/>
    <col min="35" max="35" width="18.421875" style="23" customWidth="1"/>
    <col min="36" max="36" width="13.7109375" style="23" customWidth="1"/>
    <col min="37" max="37" width="17.7109375" style="23" customWidth="1"/>
    <col min="38" max="38" width="14.7109375" style="91" customWidth="1"/>
    <col min="39" max="39" width="14.57421875" style="91" customWidth="1"/>
    <col min="40" max="40" width="15.28125" style="78" customWidth="1"/>
    <col min="41" max="16384" width="9.140625" style="78" customWidth="1"/>
  </cols>
  <sheetData>
    <row r="1" spans="1:39" ht="62.25" customHeight="1">
      <c r="A1" s="157" t="s">
        <v>127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</row>
    <row r="2" spans="1:39" s="79" customFormat="1" ht="230.25" customHeight="1">
      <c r="A2" s="75" t="s">
        <v>0</v>
      </c>
      <c r="B2" s="17" t="s">
        <v>144</v>
      </c>
      <c r="C2" s="17" t="s">
        <v>145</v>
      </c>
      <c r="D2" s="17" t="s">
        <v>15</v>
      </c>
      <c r="E2" s="21" t="s">
        <v>16</v>
      </c>
      <c r="F2" s="8" t="s">
        <v>59</v>
      </c>
      <c r="G2" s="21" t="s">
        <v>17</v>
      </c>
      <c r="H2" s="8" t="s">
        <v>18</v>
      </c>
      <c r="I2" s="8" t="s">
        <v>19</v>
      </c>
      <c r="J2" s="21" t="s">
        <v>20</v>
      </c>
      <c r="K2" s="18" t="s">
        <v>21</v>
      </c>
      <c r="L2" s="18" t="s">
        <v>22</v>
      </c>
      <c r="M2" s="18" t="s">
        <v>23</v>
      </c>
      <c r="N2" s="21" t="s">
        <v>33</v>
      </c>
      <c r="O2" s="9" t="s">
        <v>24</v>
      </c>
      <c r="P2" s="9" t="s">
        <v>131</v>
      </c>
      <c r="Q2" s="9" t="s">
        <v>26</v>
      </c>
      <c r="R2" s="9" t="s">
        <v>132</v>
      </c>
      <c r="S2" s="9" t="s">
        <v>25</v>
      </c>
      <c r="T2" s="9" t="s">
        <v>133</v>
      </c>
      <c r="U2" s="21" t="s">
        <v>27</v>
      </c>
      <c r="V2" s="8" t="s">
        <v>28</v>
      </c>
      <c r="W2" s="21" t="s">
        <v>29</v>
      </c>
      <c r="X2" s="8" t="s">
        <v>30</v>
      </c>
      <c r="Y2" s="8" t="s">
        <v>31</v>
      </c>
      <c r="Z2" s="21" t="s">
        <v>32</v>
      </c>
      <c r="AA2" s="14" t="s">
        <v>34</v>
      </c>
      <c r="AB2" s="20" t="s">
        <v>50</v>
      </c>
      <c r="AC2" s="21" t="s">
        <v>47</v>
      </c>
      <c r="AD2" s="20" t="s">
        <v>48</v>
      </c>
      <c r="AE2" s="21" t="s">
        <v>51</v>
      </c>
      <c r="AF2" s="14" t="s">
        <v>52</v>
      </c>
      <c r="AG2" s="22" t="s">
        <v>49</v>
      </c>
      <c r="AH2" s="21" t="s">
        <v>53</v>
      </c>
      <c r="AI2" s="8" t="s">
        <v>54</v>
      </c>
      <c r="AJ2" s="29" t="s">
        <v>55</v>
      </c>
      <c r="AK2" s="22" t="s">
        <v>56</v>
      </c>
      <c r="AL2" s="32" t="s">
        <v>57</v>
      </c>
      <c r="AM2" s="33" t="s">
        <v>58</v>
      </c>
    </row>
    <row r="3" spans="1:39" s="79" customFormat="1" ht="12.75" customHeight="1">
      <c r="A3" s="122">
        <v>1</v>
      </c>
      <c r="B3" s="122">
        <v>2</v>
      </c>
      <c r="C3" s="122">
        <v>3</v>
      </c>
      <c r="D3" s="122">
        <v>4</v>
      </c>
      <c r="E3" s="123">
        <v>5</v>
      </c>
      <c r="F3" s="122">
        <v>6</v>
      </c>
      <c r="G3" s="123">
        <v>7</v>
      </c>
      <c r="H3" s="122">
        <v>8</v>
      </c>
      <c r="I3" s="122">
        <v>9</v>
      </c>
      <c r="J3" s="123">
        <v>10</v>
      </c>
      <c r="K3" s="122">
        <v>11</v>
      </c>
      <c r="L3" s="122">
        <v>12</v>
      </c>
      <c r="M3" s="122">
        <v>13</v>
      </c>
      <c r="N3" s="123">
        <v>14</v>
      </c>
      <c r="O3" s="122">
        <v>15</v>
      </c>
      <c r="P3" s="122">
        <v>16</v>
      </c>
      <c r="Q3" s="122">
        <v>17</v>
      </c>
      <c r="R3" s="122">
        <v>18</v>
      </c>
      <c r="S3" s="122">
        <v>19</v>
      </c>
      <c r="T3" s="122">
        <v>20</v>
      </c>
      <c r="U3" s="123">
        <v>21</v>
      </c>
      <c r="V3" s="122">
        <v>22</v>
      </c>
      <c r="W3" s="123">
        <v>23</v>
      </c>
      <c r="X3" s="122">
        <v>24</v>
      </c>
      <c r="Y3" s="122">
        <v>25</v>
      </c>
      <c r="Z3" s="123">
        <v>26</v>
      </c>
      <c r="AA3" s="122">
        <v>27</v>
      </c>
      <c r="AB3" s="123">
        <v>28</v>
      </c>
      <c r="AC3" s="123">
        <v>29</v>
      </c>
      <c r="AD3" s="123">
        <v>30</v>
      </c>
      <c r="AE3" s="123">
        <v>31</v>
      </c>
      <c r="AF3" s="122">
        <v>32</v>
      </c>
      <c r="AG3" s="124">
        <v>33</v>
      </c>
      <c r="AH3" s="123">
        <v>34</v>
      </c>
      <c r="AI3" s="122">
        <v>35</v>
      </c>
      <c r="AJ3" s="125">
        <v>36</v>
      </c>
      <c r="AK3" s="124">
        <v>37</v>
      </c>
      <c r="AL3" s="125">
        <v>38</v>
      </c>
      <c r="AM3" s="126">
        <v>39</v>
      </c>
    </row>
    <row r="4" spans="1:40" s="84" customFormat="1" ht="18">
      <c r="A4" s="19" t="s">
        <v>1</v>
      </c>
      <c r="B4" s="85">
        <v>5064</v>
      </c>
      <c r="C4" s="85">
        <v>5064</v>
      </c>
      <c r="D4" s="85">
        <v>465</v>
      </c>
      <c r="E4" s="26">
        <f>(1+D4/B4)/(1+D$16/B$16)</f>
        <v>0.9353253296677829</v>
      </c>
      <c r="F4" s="80">
        <v>128.4</v>
      </c>
      <c r="G4" s="26">
        <f>(F4/B4)/(F$16/B$16)</f>
        <v>1.1893360963412052</v>
      </c>
      <c r="H4" s="81"/>
      <c r="I4" s="24"/>
      <c r="J4" s="26">
        <f aca="true" t="shared" si="0" ref="J4:J16">SUM(I$16+(1-I$16)*H$16/B4)</f>
        <v>0.8645767509215376</v>
      </c>
      <c r="K4" s="80"/>
      <c r="L4" s="80"/>
      <c r="M4" s="80"/>
      <c r="N4" s="82">
        <f>SUM(K$16*J4+L$16*G4+M$16*E4)</f>
        <v>0.8970807060373374</v>
      </c>
      <c r="O4" s="80">
        <v>85.59</v>
      </c>
      <c r="P4" s="118">
        <f>SUM(O4*B4)</f>
        <v>433427.76</v>
      </c>
      <c r="Q4" s="80">
        <v>1975.55</v>
      </c>
      <c r="R4" s="118">
        <f>SUM(Q4*B4)</f>
        <v>10004185.2</v>
      </c>
      <c r="S4" s="80">
        <v>5.27</v>
      </c>
      <c r="T4" s="118">
        <f>SUM(S4*B4)</f>
        <v>26687.28</v>
      </c>
      <c r="U4" s="26">
        <f>SUM(0.2*O4*B$16/P$16+0.65*Q4*B$16/R$16+0.15*S4*B$16/T$16)</f>
        <v>0.712656274334743</v>
      </c>
      <c r="V4" s="92">
        <f>SUM(C4/B4)</f>
        <v>1</v>
      </c>
      <c r="W4" s="26">
        <f>SUM((1+0.25*V4)/(1+0.25*V$16))</f>
        <v>1</v>
      </c>
      <c r="X4" s="24"/>
      <c r="Y4" s="24"/>
      <c r="Z4" s="26">
        <f>SUM(X$16*W4+Y$16*U4+1-X$16-Y$16)</f>
        <v>0.9820850891680708</v>
      </c>
      <c r="AA4" s="24">
        <f>SUM(Z4*N4*B4)</f>
        <v>4461.432539349668</v>
      </c>
      <c r="AB4" s="26">
        <f>SUM(Z4*N4*B$16/AA$16)</f>
        <v>0.8798490370582065</v>
      </c>
      <c r="AC4" s="25">
        <f>SUM(НПn2017!N3)</f>
        <v>16445.36291226477</v>
      </c>
      <c r="AD4" s="26">
        <f>(AC4/B4)/(AC$16/B$16)</f>
        <v>1.9350507539244102</v>
      </c>
      <c r="AE4" s="26">
        <f>SUM(AD4/AB4)</f>
        <v>2.199298598307606</v>
      </c>
      <c r="AF4" s="24">
        <f>SUM(ПНД!K5)</f>
        <v>11462.5</v>
      </c>
      <c r="AG4" s="35"/>
      <c r="AH4" s="25">
        <f aca="true" t="shared" si="1" ref="AH4:AH16">SUM(AF$16+AG$16)/AF$16</f>
        <v>8.440440278155743</v>
      </c>
      <c r="AI4" s="24">
        <f>SUM(AF$16/B$16)*(AH$16-AE4)*AB4*B4</f>
        <v>48954.17422357967</v>
      </c>
      <c r="AJ4" s="30">
        <f>SUM(AG$16*AI4/AI$16)</f>
        <v>48954.17422357967</v>
      </c>
      <c r="AK4" s="83"/>
      <c r="AL4" s="30">
        <f>SUM(AK$16*B4/B$16)</f>
        <v>8541.154395800419</v>
      </c>
      <c r="AM4" s="72">
        <f aca="true" t="shared" si="2" ref="AM4:AM15">SUM(AL4+AJ4)</f>
        <v>57495.32861938009</v>
      </c>
      <c r="AN4" s="63"/>
    </row>
    <row r="5" spans="1:40" s="84" customFormat="1" ht="18">
      <c r="A5" s="19" t="s">
        <v>2</v>
      </c>
      <c r="B5" s="85">
        <v>1985</v>
      </c>
      <c r="C5" s="85">
        <v>1985</v>
      </c>
      <c r="D5" s="85">
        <v>0</v>
      </c>
      <c r="E5" s="26">
        <f aca="true" t="shared" si="3" ref="E5:E16">(1+D5/B5)/(1+D$16/B$16)</f>
        <v>0.8566625916870416</v>
      </c>
      <c r="F5" s="80">
        <v>27.7</v>
      </c>
      <c r="G5" s="26">
        <f aca="true" t="shared" si="4" ref="G5:G16">(F5/B5)/(F$16/B$16)</f>
        <v>0.6545646255594945</v>
      </c>
      <c r="H5" s="81"/>
      <c r="I5" s="24"/>
      <c r="J5" s="26">
        <f t="shared" si="0"/>
        <v>0.9647439126784215</v>
      </c>
      <c r="K5" s="80"/>
      <c r="L5" s="80"/>
      <c r="M5" s="80"/>
      <c r="N5" s="82">
        <f aca="true" t="shared" si="5" ref="N5:N15">SUM(K$16*J5+L$16*G5+M$16*E5)</f>
        <v>0.9183174401524465</v>
      </c>
      <c r="O5" s="80">
        <v>116.39</v>
      </c>
      <c r="P5" s="118">
        <f aca="true" t="shared" si="6" ref="P5:P15">SUM(O5*B5)</f>
        <v>231034.15</v>
      </c>
      <c r="Q5" s="80">
        <v>0</v>
      </c>
      <c r="R5" s="118">
        <f aca="true" t="shared" si="7" ref="R5:R15">SUM(Q5*B5)</f>
        <v>0</v>
      </c>
      <c r="S5" s="80">
        <v>5.27</v>
      </c>
      <c r="T5" s="118">
        <f aca="true" t="shared" si="8" ref="T5:T15">SUM(S5*B5)</f>
        <v>10460.949999999999</v>
      </c>
      <c r="U5" s="26">
        <f aca="true" t="shared" si="9" ref="U5:U15">SUM(0.2*O5*B$16/P$16+0.65*Q5*B$16/R$16+0.15*S5*B$16/T$16)</f>
        <v>0.3023545301665491</v>
      </c>
      <c r="V5" s="92">
        <f aca="true" t="shared" si="10" ref="V5:V16">SUM(C5/B5)</f>
        <v>1</v>
      </c>
      <c r="W5" s="26">
        <f aca="true" t="shared" si="11" ref="W5:W16">SUM((1+0.25*V5)/(1+0.25*V$16))</f>
        <v>1</v>
      </c>
      <c r="X5" s="24"/>
      <c r="Y5" s="24"/>
      <c r="Z5" s="26">
        <f aca="true" t="shared" si="12" ref="Z5:Z16">SUM(X$16*W5+Y$16*U5+1-X$16-Y$16)</f>
        <v>0.9565041611560174</v>
      </c>
      <c r="AA5" s="24">
        <f aca="true" t="shared" si="13" ref="AA5:AA15">SUM(Z5*N5*B5)</f>
        <v>1743.5732887443949</v>
      </c>
      <c r="AB5" s="26">
        <f aca="true" t="shared" si="14" ref="AB5:AB16">SUM(Z5*N5*B$16/AA$16)</f>
        <v>0.8772173758890918</v>
      </c>
      <c r="AC5" s="25">
        <f>SUM(НПn2017!N4)</f>
        <v>2410.4346924988254</v>
      </c>
      <c r="AD5" s="26">
        <f aca="true" t="shared" si="15" ref="AD5:AD16">(AC5/B5)/(AC$16/B$16)</f>
        <v>0.7235648379812278</v>
      </c>
      <c r="AE5" s="26">
        <f aca="true" t="shared" si="16" ref="AE5:AE16">SUM(AD5/AB5)</f>
        <v>0.8248409776970828</v>
      </c>
      <c r="AF5" s="24">
        <f>SUM(ПНД!K6)</f>
        <v>3978</v>
      </c>
      <c r="AG5" s="35"/>
      <c r="AH5" s="25">
        <f t="shared" si="1"/>
        <v>8.440440278155743</v>
      </c>
      <c r="AI5" s="24">
        <f aca="true" t="shared" si="17" ref="AI5:AI15">SUM(AF$16/B$16)*(AH$16-AE5)*AB5*B5</f>
        <v>23345.095208016355</v>
      </c>
      <c r="AJ5" s="30">
        <f aca="true" t="shared" si="18" ref="AJ5:AJ15">SUM(AG$16*AI5/AI$16)</f>
        <v>23345.095208016355</v>
      </c>
      <c r="AK5" s="83"/>
      <c r="AL5" s="30">
        <f aca="true" t="shared" si="19" ref="AL5:AL15">SUM(AK$16*B5/B$16)</f>
        <v>3347.9840986697927</v>
      </c>
      <c r="AM5" s="72">
        <f t="shared" si="2"/>
        <v>26693.079306686148</v>
      </c>
      <c r="AN5" s="63"/>
    </row>
    <row r="6" spans="1:40" s="84" customFormat="1" ht="18">
      <c r="A6" s="19" t="s">
        <v>3</v>
      </c>
      <c r="B6" s="85">
        <v>1550</v>
      </c>
      <c r="C6" s="85">
        <v>1550</v>
      </c>
      <c r="D6" s="85">
        <v>91</v>
      </c>
      <c r="E6" s="26">
        <f t="shared" si="3"/>
        <v>0.9069569761022163</v>
      </c>
      <c r="F6" s="80">
        <v>31.4</v>
      </c>
      <c r="G6" s="26">
        <f t="shared" si="4"/>
        <v>0.9502354383719047</v>
      </c>
      <c r="H6" s="81"/>
      <c r="I6" s="24"/>
      <c r="J6" s="26">
        <f t="shared" si="0"/>
        <v>1.010978494623656</v>
      </c>
      <c r="K6" s="80"/>
      <c r="L6" s="80"/>
      <c r="M6" s="80"/>
      <c r="N6" s="82">
        <f t="shared" si="5"/>
        <v>0.9704253282420493</v>
      </c>
      <c r="O6" s="80">
        <v>332.11</v>
      </c>
      <c r="P6" s="118">
        <f t="shared" si="6"/>
        <v>514770.5</v>
      </c>
      <c r="Q6" s="80">
        <v>2831.39</v>
      </c>
      <c r="R6" s="118">
        <f t="shared" si="7"/>
        <v>4388654.5</v>
      </c>
      <c r="S6" s="80">
        <v>5.27</v>
      </c>
      <c r="T6" s="118">
        <f t="shared" si="8"/>
        <v>8168.499999999999</v>
      </c>
      <c r="U6" s="26">
        <f t="shared" si="9"/>
        <v>1.2321926473967713</v>
      </c>
      <c r="V6" s="92">
        <f t="shared" si="10"/>
        <v>1</v>
      </c>
      <c r="W6" s="26">
        <f t="shared" si="11"/>
        <v>1</v>
      </c>
      <c r="X6" s="24"/>
      <c r="Y6" s="24"/>
      <c r="Z6" s="26">
        <f t="shared" si="12"/>
        <v>1.0144764273669529</v>
      </c>
      <c r="AA6" s="24">
        <f t="shared" si="13"/>
        <v>1525.934111033165</v>
      </c>
      <c r="AB6" s="26">
        <f t="shared" si="14"/>
        <v>0.9831767794086149</v>
      </c>
      <c r="AC6" s="25">
        <f>SUM(НПn2017!N5)</f>
        <v>3177.2786923719827</v>
      </c>
      <c r="AD6" s="26">
        <f t="shared" si="15"/>
        <v>1.221423320811064</v>
      </c>
      <c r="AE6" s="26">
        <f t="shared" si="16"/>
        <v>1.2423231980171008</v>
      </c>
      <c r="AF6" s="24">
        <f>SUM(ПНД!K7)</f>
        <v>4894</v>
      </c>
      <c r="AG6" s="35"/>
      <c r="AH6" s="25">
        <f t="shared" si="1"/>
        <v>8.440440278155743</v>
      </c>
      <c r="AI6" s="24">
        <f t="shared" si="17"/>
        <v>19311.056959959147</v>
      </c>
      <c r="AJ6" s="30">
        <f t="shared" si="18"/>
        <v>19311.056959959147</v>
      </c>
      <c r="AK6" s="83"/>
      <c r="AL6" s="30">
        <f t="shared" si="19"/>
        <v>2614.294888130065</v>
      </c>
      <c r="AM6" s="72">
        <f t="shared" si="2"/>
        <v>21925.351848089213</v>
      </c>
      <c r="AN6" s="63"/>
    </row>
    <row r="7" spans="1:40" s="84" customFormat="1" ht="18">
      <c r="A7" s="19" t="s">
        <v>4</v>
      </c>
      <c r="B7" s="85">
        <v>736</v>
      </c>
      <c r="C7" s="85">
        <v>736</v>
      </c>
      <c r="D7" s="85">
        <v>44</v>
      </c>
      <c r="E7" s="26">
        <f t="shared" si="3"/>
        <v>0.9078761161900712</v>
      </c>
      <c r="F7" s="80">
        <v>19.4</v>
      </c>
      <c r="G7" s="26">
        <f t="shared" si="4"/>
        <v>1.2363948539117962</v>
      </c>
      <c r="H7" s="81"/>
      <c r="I7" s="24"/>
      <c r="J7" s="26">
        <f t="shared" si="0"/>
        <v>1.2443161231884057</v>
      </c>
      <c r="K7" s="80"/>
      <c r="L7" s="80"/>
      <c r="M7" s="80"/>
      <c r="N7" s="82">
        <f t="shared" si="5"/>
        <v>1.1164280126930213</v>
      </c>
      <c r="O7" s="80">
        <v>332.11</v>
      </c>
      <c r="P7" s="118">
        <f t="shared" si="6"/>
        <v>244432.96000000002</v>
      </c>
      <c r="Q7" s="80">
        <v>3541.37</v>
      </c>
      <c r="R7" s="118">
        <f t="shared" si="7"/>
        <v>2606448.32</v>
      </c>
      <c r="S7" s="80">
        <v>5.27</v>
      </c>
      <c r="T7" s="118">
        <f t="shared" si="8"/>
        <v>3878.72</v>
      </c>
      <c r="U7" s="26">
        <f t="shared" si="9"/>
        <v>1.3942069182526473</v>
      </c>
      <c r="V7" s="92">
        <f t="shared" si="10"/>
        <v>1</v>
      </c>
      <c r="W7" s="26">
        <f t="shared" si="11"/>
        <v>1</v>
      </c>
      <c r="X7" s="24"/>
      <c r="Y7" s="24"/>
      <c r="Z7" s="26">
        <f t="shared" si="12"/>
        <v>1.0245774699742456</v>
      </c>
      <c r="AA7" s="24">
        <f t="shared" si="13"/>
        <v>841.8861036488956</v>
      </c>
      <c r="AB7" s="26">
        <f t="shared" si="14"/>
        <v>1.1423601802063812</v>
      </c>
      <c r="AC7" s="25">
        <f>SUM(НПn2017!N6)</f>
        <v>538.0753464411918</v>
      </c>
      <c r="AD7" s="26">
        <f t="shared" si="15"/>
        <v>0.4356200648316232</v>
      </c>
      <c r="AE7" s="26">
        <f t="shared" si="16"/>
        <v>0.3813333766176296</v>
      </c>
      <c r="AF7" s="24">
        <f>SUM(ПНД!K13)</f>
        <v>932.3</v>
      </c>
      <c r="AG7" s="35"/>
      <c r="AH7" s="25">
        <f t="shared" si="1"/>
        <v>8.440440278155743</v>
      </c>
      <c r="AI7" s="24">
        <f t="shared" si="17"/>
        <v>11928.65875094384</v>
      </c>
      <c r="AJ7" s="30">
        <f t="shared" si="18"/>
        <v>11928.65875094384</v>
      </c>
      <c r="AK7" s="83"/>
      <c r="AL7" s="30">
        <f t="shared" si="19"/>
        <v>1241.3684113959532</v>
      </c>
      <c r="AM7" s="72">
        <f t="shared" si="2"/>
        <v>13170.027162339793</v>
      </c>
      <c r="AN7" s="63"/>
    </row>
    <row r="8" spans="1:40" s="84" customFormat="1" ht="18">
      <c r="A8" s="19" t="s">
        <v>81</v>
      </c>
      <c r="B8" s="85">
        <v>881</v>
      </c>
      <c r="C8" s="85">
        <v>881</v>
      </c>
      <c r="D8" s="85">
        <v>352</v>
      </c>
      <c r="E8" s="26">
        <f t="shared" si="3"/>
        <v>1.1989386782634759</v>
      </c>
      <c r="F8" s="80">
        <v>23.2</v>
      </c>
      <c r="G8" s="26">
        <f t="shared" si="4"/>
        <v>1.235222943089197</v>
      </c>
      <c r="H8" s="81"/>
      <c r="I8" s="24"/>
      <c r="J8" s="26">
        <f t="shared" si="0"/>
        <v>1.1711880438895195</v>
      </c>
      <c r="K8" s="80"/>
      <c r="L8" s="80"/>
      <c r="M8" s="80"/>
      <c r="N8" s="82">
        <f t="shared" si="5"/>
        <v>1.1828373524131435</v>
      </c>
      <c r="O8" s="80">
        <v>212.89</v>
      </c>
      <c r="P8" s="118">
        <f t="shared" si="6"/>
        <v>187556.09</v>
      </c>
      <c r="Q8" s="80">
        <v>4471.67</v>
      </c>
      <c r="R8" s="118">
        <f t="shared" si="7"/>
        <v>3939541.27</v>
      </c>
      <c r="S8" s="80">
        <v>5.27</v>
      </c>
      <c r="T8" s="118">
        <f t="shared" si="8"/>
        <v>4642.87</v>
      </c>
      <c r="U8" s="26">
        <f t="shared" si="9"/>
        <v>1.4496921246059074</v>
      </c>
      <c r="V8" s="92">
        <f t="shared" si="10"/>
        <v>1</v>
      </c>
      <c r="W8" s="26">
        <f t="shared" si="11"/>
        <v>1</v>
      </c>
      <c r="X8" s="24"/>
      <c r="Y8" s="24"/>
      <c r="Z8" s="26">
        <f t="shared" si="12"/>
        <v>1.0280367851968366</v>
      </c>
      <c r="AA8" s="24">
        <f t="shared" si="13"/>
        <v>1071.2962723924659</v>
      </c>
      <c r="AB8" s="26">
        <f t="shared" si="14"/>
        <v>1.2143984799906986</v>
      </c>
      <c r="AC8" s="25">
        <f>SUM(НПn2017!N7)</f>
        <v>1258.2813948261273</v>
      </c>
      <c r="AD8" s="26">
        <f t="shared" si="15"/>
        <v>0.8510292015088579</v>
      </c>
      <c r="AE8" s="26">
        <f t="shared" si="16"/>
        <v>0.7007824989334441</v>
      </c>
      <c r="AF8" s="24">
        <f>SUM(ПНД!K9)</f>
        <v>1191.8</v>
      </c>
      <c r="AG8" s="35"/>
      <c r="AH8" s="25">
        <f t="shared" si="1"/>
        <v>8.440440278155743</v>
      </c>
      <c r="AI8" s="24">
        <f t="shared" si="17"/>
        <v>14577.488549545042</v>
      </c>
      <c r="AJ8" s="30">
        <f t="shared" si="18"/>
        <v>14577.488549545042</v>
      </c>
      <c r="AK8" s="83"/>
      <c r="AL8" s="30">
        <f t="shared" si="19"/>
        <v>1485.9314815758626</v>
      </c>
      <c r="AM8" s="72">
        <f t="shared" si="2"/>
        <v>16063.420031120904</v>
      </c>
      <c r="AN8" s="63"/>
    </row>
    <row r="9" spans="1:40" s="84" customFormat="1" ht="18">
      <c r="A9" s="19" t="s">
        <v>6</v>
      </c>
      <c r="B9" s="85">
        <v>1945</v>
      </c>
      <c r="C9" s="85">
        <v>1945</v>
      </c>
      <c r="D9" s="85">
        <v>296</v>
      </c>
      <c r="E9" s="26">
        <f t="shared" si="3"/>
        <v>0.9870338652805452</v>
      </c>
      <c r="F9" s="80">
        <v>30.8</v>
      </c>
      <c r="G9" s="26">
        <f t="shared" si="4"/>
        <v>0.7427871535355186</v>
      </c>
      <c r="H9" s="81"/>
      <c r="I9" s="24"/>
      <c r="J9" s="26">
        <f t="shared" si="0"/>
        <v>0.9681319622964868</v>
      </c>
      <c r="K9" s="80"/>
      <c r="L9" s="80"/>
      <c r="M9" s="80"/>
      <c r="N9" s="82">
        <f t="shared" si="5"/>
        <v>0.9713958829742839</v>
      </c>
      <c r="O9" s="80">
        <v>116.39</v>
      </c>
      <c r="P9" s="118">
        <f t="shared" si="6"/>
        <v>226378.55</v>
      </c>
      <c r="Q9" s="80">
        <v>3465.24</v>
      </c>
      <c r="R9" s="118">
        <f t="shared" si="7"/>
        <v>6739891.8</v>
      </c>
      <c r="S9" s="80">
        <v>5.27</v>
      </c>
      <c r="T9" s="118">
        <f t="shared" si="8"/>
        <v>10250.15</v>
      </c>
      <c r="U9" s="26">
        <f t="shared" si="9"/>
        <v>1.093106849866563</v>
      </c>
      <c r="V9" s="92">
        <f t="shared" si="10"/>
        <v>1</v>
      </c>
      <c r="W9" s="26">
        <f t="shared" si="11"/>
        <v>1</v>
      </c>
      <c r="X9" s="24"/>
      <c r="Y9" s="24"/>
      <c r="Z9" s="26">
        <f t="shared" si="12"/>
        <v>1.0058048976337992</v>
      </c>
      <c r="AA9" s="24">
        <f t="shared" si="13"/>
        <v>1900.3325627586607</v>
      </c>
      <c r="AB9" s="26">
        <f t="shared" si="14"/>
        <v>0.9757476952161279</v>
      </c>
      <c r="AC9" s="25">
        <f>SUM(НПn2017!N8)</f>
        <v>1287.1546583639451</v>
      </c>
      <c r="AD9" s="26">
        <f t="shared" si="15"/>
        <v>0.394324465042596</v>
      </c>
      <c r="AE9" s="26">
        <f t="shared" si="16"/>
        <v>0.4041254383442363</v>
      </c>
      <c r="AF9" s="24">
        <f>SUM(ПНД!K14)</f>
        <v>1733.5</v>
      </c>
      <c r="AG9" s="35"/>
      <c r="AH9" s="25">
        <f t="shared" si="1"/>
        <v>8.440440278155743</v>
      </c>
      <c r="AI9" s="24">
        <f t="shared" si="17"/>
        <v>26849.605565639984</v>
      </c>
      <c r="AJ9" s="30">
        <f t="shared" si="18"/>
        <v>26849.605565639984</v>
      </c>
      <c r="AK9" s="83"/>
      <c r="AL9" s="30">
        <f t="shared" si="19"/>
        <v>3280.5184241374036</v>
      </c>
      <c r="AM9" s="72">
        <f t="shared" si="2"/>
        <v>30130.12398977739</v>
      </c>
      <c r="AN9" s="63"/>
    </row>
    <row r="10" spans="1:40" s="84" customFormat="1" ht="18">
      <c r="A10" s="19" t="s">
        <v>14</v>
      </c>
      <c r="B10" s="85">
        <v>3194</v>
      </c>
      <c r="C10" s="85">
        <v>3194</v>
      </c>
      <c r="D10" s="85">
        <v>879</v>
      </c>
      <c r="E10" s="26">
        <f t="shared" si="3"/>
        <v>1.0924191408707953</v>
      </c>
      <c r="F10" s="80">
        <v>70.8</v>
      </c>
      <c r="G10" s="26">
        <f t="shared" si="4"/>
        <v>1.0397564402894444</v>
      </c>
      <c r="H10" s="81"/>
      <c r="I10" s="24"/>
      <c r="J10" s="26">
        <f t="shared" si="0"/>
        <v>0.9023846796075976</v>
      </c>
      <c r="K10" s="80"/>
      <c r="L10" s="80"/>
      <c r="M10" s="80"/>
      <c r="N10" s="82">
        <f t="shared" si="5"/>
        <v>0.9769287997488315</v>
      </c>
      <c r="O10" s="80">
        <v>212.89</v>
      </c>
      <c r="P10" s="118">
        <f t="shared" si="6"/>
        <v>679970.6599999999</v>
      </c>
      <c r="Q10" s="80">
        <v>3231.62</v>
      </c>
      <c r="R10" s="118">
        <f t="shared" si="7"/>
        <v>10321794.28</v>
      </c>
      <c r="S10" s="80">
        <v>5.27</v>
      </c>
      <c r="T10" s="118">
        <f t="shared" si="8"/>
        <v>16832.379999999997</v>
      </c>
      <c r="U10" s="26">
        <f t="shared" si="9"/>
        <v>1.166718242841873</v>
      </c>
      <c r="V10" s="92">
        <f t="shared" si="10"/>
        <v>1</v>
      </c>
      <c r="W10" s="26">
        <f t="shared" si="11"/>
        <v>1</v>
      </c>
      <c r="X10" s="24"/>
      <c r="Y10" s="24"/>
      <c r="Z10" s="26">
        <f t="shared" si="12"/>
        <v>1.0103943193736113</v>
      </c>
      <c r="AA10" s="24">
        <f t="shared" si="13"/>
        <v>3152.7440911776466</v>
      </c>
      <c r="AB10" s="26">
        <f t="shared" si="14"/>
        <v>0.9857830313589016</v>
      </c>
      <c r="AC10" s="25">
        <f>SUM(НПn2017!N9)</f>
        <v>3196.0632290288295</v>
      </c>
      <c r="AD10" s="26">
        <f t="shared" si="15"/>
        <v>0.596242660954916</v>
      </c>
      <c r="AE10" s="26">
        <f t="shared" si="16"/>
        <v>0.6048416760968138</v>
      </c>
      <c r="AF10" s="24">
        <f>SUM(ПНД!K12)</f>
        <v>4239</v>
      </c>
      <c r="AG10" s="35"/>
      <c r="AH10" s="25">
        <f t="shared" si="1"/>
        <v>8.440440278155743</v>
      </c>
      <c r="AI10" s="24">
        <f t="shared" si="17"/>
        <v>43432.242907016225</v>
      </c>
      <c r="AJ10" s="30">
        <f t="shared" si="18"/>
        <v>43432.242907016225</v>
      </c>
      <c r="AK10" s="83"/>
      <c r="AL10" s="30">
        <f t="shared" si="19"/>
        <v>5387.134111411243</v>
      </c>
      <c r="AM10" s="72">
        <f t="shared" si="2"/>
        <v>48819.37701842747</v>
      </c>
      <c r="AN10" s="63"/>
    </row>
    <row r="11" spans="1:40" s="84" customFormat="1" ht="18">
      <c r="A11" s="19" t="s">
        <v>7</v>
      </c>
      <c r="B11" s="85">
        <v>892</v>
      </c>
      <c r="C11" s="85">
        <v>892</v>
      </c>
      <c r="D11" s="85">
        <v>260</v>
      </c>
      <c r="E11" s="26">
        <f t="shared" si="3"/>
        <v>1.106362450250529</v>
      </c>
      <c r="F11" s="80">
        <v>16.8</v>
      </c>
      <c r="G11" s="26">
        <f t="shared" si="4"/>
        <v>0.883441304704393</v>
      </c>
      <c r="H11" s="81"/>
      <c r="I11" s="24"/>
      <c r="J11" s="26">
        <f t="shared" si="0"/>
        <v>1.1666106128550076</v>
      </c>
      <c r="K11" s="80"/>
      <c r="L11" s="80"/>
      <c r="M11" s="80"/>
      <c r="N11" s="82">
        <f t="shared" si="5"/>
        <v>1.138816058175423</v>
      </c>
      <c r="O11" s="80">
        <v>116.39</v>
      </c>
      <c r="P11" s="118">
        <f t="shared" si="6"/>
        <v>103819.88</v>
      </c>
      <c r="Q11" s="80">
        <v>3867.86</v>
      </c>
      <c r="R11" s="118">
        <f t="shared" si="7"/>
        <v>3450131.12</v>
      </c>
      <c r="S11" s="80">
        <v>5.27</v>
      </c>
      <c r="T11" s="118">
        <f t="shared" si="8"/>
        <v>4700.839999999999</v>
      </c>
      <c r="U11" s="26">
        <f t="shared" si="9"/>
        <v>1.1849829389563866</v>
      </c>
      <c r="V11" s="92">
        <f t="shared" si="10"/>
        <v>1</v>
      </c>
      <c r="W11" s="26">
        <f t="shared" si="11"/>
        <v>1</v>
      </c>
      <c r="X11" s="24"/>
      <c r="Y11" s="24"/>
      <c r="Z11" s="26">
        <f t="shared" si="12"/>
        <v>1.0115330614898914</v>
      </c>
      <c r="AA11" s="24">
        <f t="shared" si="13"/>
        <v>1027.539483669632</v>
      </c>
      <c r="AB11" s="26">
        <f t="shared" si="14"/>
        <v>1.1504326375318779</v>
      </c>
      <c r="AC11" s="25">
        <f>SUM(НПn2017!N10)</f>
        <v>539.6215048295813</v>
      </c>
      <c r="AD11" s="26">
        <f t="shared" si="15"/>
        <v>0.360468226660963</v>
      </c>
      <c r="AE11" s="26">
        <f t="shared" si="16"/>
        <v>0.31333275404486655</v>
      </c>
      <c r="AF11" s="24">
        <f>SUM(ПНД!K10)</f>
        <v>827.5</v>
      </c>
      <c r="AG11" s="35"/>
      <c r="AH11" s="25">
        <f t="shared" si="1"/>
        <v>8.440440278155743</v>
      </c>
      <c r="AI11" s="24">
        <f t="shared" si="17"/>
        <v>14682.022373385451</v>
      </c>
      <c r="AJ11" s="30">
        <f t="shared" si="18"/>
        <v>14682.022373385451</v>
      </c>
      <c r="AK11" s="83"/>
      <c r="AL11" s="30">
        <f t="shared" si="19"/>
        <v>1504.4845420722695</v>
      </c>
      <c r="AM11" s="72">
        <f t="shared" si="2"/>
        <v>16186.506915457721</v>
      </c>
      <c r="AN11" s="63"/>
    </row>
    <row r="12" spans="1:40" s="84" customFormat="1" ht="18">
      <c r="A12" s="19" t="s">
        <v>80</v>
      </c>
      <c r="B12" s="85">
        <v>1011</v>
      </c>
      <c r="C12" s="85">
        <v>1011</v>
      </c>
      <c r="D12" s="85">
        <v>328</v>
      </c>
      <c r="E12" s="26">
        <f t="shared" si="3"/>
        <v>1.1345907124321946</v>
      </c>
      <c r="F12" s="80">
        <v>17.9</v>
      </c>
      <c r="G12" s="26">
        <f t="shared" si="4"/>
        <v>0.8304914172645012</v>
      </c>
      <c r="H12" s="81"/>
      <c r="I12" s="24"/>
      <c r="J12" s="26">
        <f t="shared" si="0"/>
        <v>1.1234586218265743</v>
      </c>
      <c r="K12" s="80"/>
      <c r="L12" s="80"/>
      <c r="M12" s="80"/>
      <c r="N12" s="82">
        <f t="shared" si="5"/>
        <v>1.1225979051390975</v>
      </c>
      <c r="O12" s="80">
        <v>116.39</v>
      </c>
      <c r="P12" s="118">
        <f t="shared" si="6"/>
        <v>117670.29</v>
      </c>
      <c r="Q12" s="80">
        <v>4948.58</v>
      </c>
      <c r="R12" s="118">
        <f t="shared" si="7"/>
        <v>5003014.38</v>
      </c>
      <c r="S12" s="80">
        <v>5.27</v>
      </c>
      <c r="T12" s="118">
        <f t="shared" si="8"/>
        <v>5327.969999999999</v>
      </c>
      <c r="U12" s="26">
        <f t="shared" si="9"/>
        <v>1.4315984250255183</v>
      </c>
      <c r="V12" s="92">
        <f t="shared" si="10"/>
        <v>1</v>
      </c>
      <c r="W12" s="26">
        <f t="shared" si="11"/>
        <v>1</v>
      </c>
      <c r="X12" s="24"/>
      <c r="Y12" s="24"/>
      <c r="Z12" s="26">
        <f t="shared" si="12"/>
        <v>1.0269087041369427</v>
      </c>
      <c r="AA12" s="24">
        <f t="shared" si="13"/>
        <v>1165.4864211936028</v>
      </c>
      <c r="AB12" s="26">
        <f t="shared" si="14"/>
        <v>1.1512869768650469</v>
      </c>
      <c r="AC12" s="25">
        <f>SUM(НПn2017!N11)</f>
        <v>941.5788446761569</v>
      </c>
      <c r="AD12" s="26">
        <f t="shared" si="15"/>
        <v>0.5549426865802323</v>
      </c>
      <c r="AE12" s="26">
        <f t="shared" si="16"/>
        <v>0.48201942498415173</v>
      </c>
      <c r="AF12" s="24">
        <f>SUM(ПНД!K15)</f>
        <v>925.1</v>
      </c>
      <c r="AG12" s="35"/>
      <c r="AH12" s="25">
        <f t="shared" si="1"/>
        <v>8.440440278155743</v>
      </c>
      <c r="AI12" s="24">
        <f t="shared" si="17"/>
        <v>16307.42826045414</v>
      </c>
      <c r="AJ12" s="30">
        <f t="shared" si="18"/>
        <v>16307.42826045414</v>
      </c>
      <c r="AK12" s="83"/>
      <c r="AL12" s="30">
        <f t="shared" si="19"/>
        <v>1705.1949238061259</v>
      </c>
      <c r="AM12" s="72">
        <f t="shared" si="2"/>
        <v>18012.623184260265</v>
      </c>
      <c r="AN12" s="63"/>
    </row>
    <row r="13" spans="1:40" s="84" customFormat="1" ht="18">
      <c r="A13" s="19" t="s">
        <v>9</v>
      </c>
      <c r="B13" s="85">
        <v>1267</v>
      </c>
      <c r="C13" s="85">
        <v>1267</v>
      </c>
      <c r="D13" s="85">
        <v>306</v>
      </c>
      <c r="E13" s="26">
        <f t="shared" si="3"/>
        <v>1.0635597922049853</v>
      </c>
      <c r="F13" s="80">
        <v>31.5</v>
      </c>
      <c r="G13" s="26">
        <f t="shared" si="4"/>
        <v>1.166184358419966</v>
      </c>
      <c r="H13" s="81"/>
      <c r="I13" s="24"/>
      <c r="J13" s="26">
        <f t="shared" si="0"/>
        <v>1.0581031307550646</v>
      </c>
      <c r="K13" s="80"/>
      <c r="L13" s="80"/>
      <c r="M13" s="80"/>
      <c r="N13" s="82">
        <f t="shared" si="5"/>
        <v>1.0620520495289487</v>
      </c>
      <c r="O13" s="80">
        <v>116.39</v>
      </c>
      <c r="P13" s="118">
        <f t="shared" si="6"/>
        <v>147466.13</v>
      </c>
      <c r="Q13" s="80">
        <v>3867.86</v>
      </c>
      <c r="R13" s="118">
        <f t="shared" si="7"/>
        <v>4900578.62</v>
      </c>
      <c r="S13" s="80">
        <v>5.6</v>
      </c>
      <c r="T13" s="118">
        <f t="shared" si="8"/>
        <v>7095.2</v>
      </c>
      <c r="U13" s="26">
        <f t="shared" si="9"/>
        <v>1.1943301172665794</v>
      </c>
      <c r="V13" s="92">
        <f t="shared" si="10"/>
        <v>1</v>
      </c>
      <c r="W13" s="26">
        <f t="shared" si="11"/>
        <v>1</v>
      </c>
      <c r="X13" s="24"/>
      <c r="Y13" s="24"/>
      <c r="Z13" s="26">
        <f t="shared" si="12"/>
        <v>1.0121158264887427</v>
      </c>
      <c r="AA13" s="24">
        <f t="shared" si="13"/>
        <v>1361.9232445478306</v>
      </c>
      <c r="AB13" s="26">
        <f t="shared" si="14"/>
        <v>1.0735037032610442</v>
      </c>
      <c r="AC13" s="25">
        <f>SUM(НПn2017!N12)</f>
        <v>2241.463737613143</v>
      </c>
      <c r="AD13" s="26">
        <f t="shared" si="15"/>
        <v>1.0541385553498144</v>
      </c>
      <c r="AE13" s="26">
        <f t="shared" si="16"/>
        <v>0.9819608000862939</v>
      </c>
      <c r="AF13" s="24">
        <f>SUM(ПНД!K11)</f>
        <v>2911.3</v>
      </c>
      <c r="AG13" s="35"/>
      <c r="AH13" s="25">
        <f t="shared" si="1"/>
        <v>8.440440278155743</v>
      </c>
      <c r="AI13" s="24">
        <f t="shared" si="17"/>
        <v>17858.882850309503</v>
      </c>
      <c r="AJ13" s="30">
        <f t="shared" si="18"/>
        <v>17858.882850309503</v>
      </c>
      <c r="AK13" s="83"/>
      <c r="AL13" s="30">
        <f t="shared" si="19"/>
        <v>2136.975240813414</v>
      </c>
      <c r="AM13" s="72">
        <f t="shared" si="2"/>
        <v>19995.85809112292</v>
      </c>
      <c r="AN13" s="63"/>
    </row>
    <row r="14" spans="1:40" s="84" customFormat="1" ht="18">
      <c r="A14" s="19" t="s">
        <v>10</v>
      </c>
      <c r="B14" s="85">
        <v>834</v>
      </c>
      <c r="C14" s="85">
        <v>834</v>
      </c>
      <c r="D14" s="85">
        <v>0</v>
      </c>
      <c r="E14" s="26">
        <f t="shared" si="3"/>
        <v>0.8566625916870416</v>
      </c>
      <c r="F14" s="80">
        <v>14.2</v>
      </c>
      <c r="G14" s="26">
        <f t="shared" si="4"/>
        <v>0.7986482915030634</v>
      </c>
      <c r="H14" s="81"/>
      <c r="I14" s="24"/>
      <c r="J14" s="26">
        <f t="shared" si="0"/>
        <v>1.1921063149480415</v>
      </c>
      <c r="K14" s="80"/>
      <c r="L14" s="80"/>
      <c r="M14" s="80"/>
      <c r="N14" s="82">
        <f t="shared" si="5"/>
        <v>1.0579012161406713</v>
      </c>
      <c r="O14" s="80">
        <v>116.39</v>
      </c>
      <c r="P14" s="118">
        <f t="shared" si="6"/>
        <v>97069.26</v>
      </c>
      <c r="Q14" s="80">
        <v>4471.67</v>
      </c>
      <c r="R14" s="118">
        <f t="shared" si="7"/>
        <v>3729372.7800000003</v>
      </c>
      <c r="S14" s="80">
        <v>5.27</v>
      </c>
      <c r="T14" s="118">
        <f t="shared" si="8"/>
        <v>4395.179999999999</v>
      </c>
      <c r="U14" s="26">
        <f t="shared" si="9"/>
        <v>1.3227696891260903</v>
      </c>
      <c r="V14" s="92">
        <f t="shared" si="10"/>
        <v>1</v>
      </c>
      <c r="W14" s="26">
        <f t="shared" si="11"/>
        <v>1</v>
      </c>
      <c r="X14" s="24"/>
      <c r="Y14" s="24"/>
      <c r="Z14" s="26">
        <f t="shared" si="12"/>
        <v>1.0201236000074685</v>
      </c>
      <c r="AA14" s="24">
        <f t="shared" si="13"/>
        <v>900.0444575494583</v>
      </c>
      <c r="AB14" s="26">
        <f t="shared" si="14"/>
        <v>1.0777683871895467</v>
      </c>
      <c r="AC14" s="25">
        <f>SUM(НПn2017!N13)</f>
        <v>609.1964644958401</v>
      </c>
      <c r="AD14" s="26">
        <f t="shared" si="15"/>
        <v>0.43524512880349714</v>
      </c>
      <c r="AE14" s="26">
        <f t="shared" si="16"/>
        <v>0.40383920513615024</v>
      </c>
      <c r="AF14" s="24">
        <f>SUM(ПНД!K8)</f>
        <v>998.1</v>
      </c>
      <c r="AG14" s="35"/>
      <c r="AH14" s="25">
        <f t="shared" si="1"/>
        <v>8.440440278155743</v>
      </c>
      <c r="AI14" s="24">
        <f t="shared" si="17"/>
        <v>12717.089564424168</v>
      </c>
      <c r="AJ14" s="30">
        <f t="shared" si="18"/>
        <v>12717.089564424168</v>
      </c>
      <c r="AK14" s="83"/>
      <c r="AL14" s="30">
        <f t="shared" si="19"/>
        <v>1406.6593140003058</v>
      </c>
      <c r="AM14" s="72">
        <f t="shared" si="2"/>
        <v>14123.748878424474</v>
      </c>
      <c r="AN14" s="63"/>
    </row>
    <row r="15" spans="1:40" s="84" customFormat="1" ht="18">
      <c r="A15" s="19" t="s">
        <v>11</v>
      </c>
      <c r="B15" s="85">
        <v>262</v>
      </c>
      <c r="C15" s="85">
        <v>262</v>
      </c>
      <c r="D15" s="85">
        <v>262</v>
      </c>
      <c r="E15" s="26">
        <f t="shared" si="3"/>
        <v>1.7133251833740832</v>
      </c>
      <c r="F15" s="80">
        <v>6.2</v>
      </c>
      <c r="G15" s="26">
        <f t="shared" si="4"/>
        <v>1.1100017701602087</v>
      </c>
      <c r="H15" s="81"/>
      <c r="I15" s="24"/>
      <c r="J15" s="26">
        <f t="shared" si="0"/>
        <v>2.0481552162849868</v>
      </c>
      <c r="K15" s="80"/>
      <c r="L15" s="80"/>
      <c r="M15" s="80"/>
      <c r="N15" s="82">
        <f t="shared" si="5"/>
        <v>1.9047238799456025</v>
      </c>
      <c r="O15" s="80">
        <v>0</v>
      </c>
      <c r="P15" s="118">
        <f t="shared" si="6"/>
        <v>0</v>
      </c>
      <c r="Q15" s="80">
        <v>3074.49</v>
      </c>
      <c r="R15" s="118">
        <f t="shared" si="7"/>
        <v>805516.3799999999</v>
      </c>
      <c r="S15" s="80">
        <v>5.6</v>
      </c>
      <c r="T15" s="118">
        <f t="shared" si="8"/>
        <v>1467.1999999999998</v>
      </c>
      <c r="U15" s="26">
        <f t="shared" si="9"/>
        <v>0.8602036951385359</v>
      </c>
      <c r="V15" s="92">
        <f t="shared" si="10"/>
        <v>1</v>
      </c>
      <c r="W15" s="26">
        <f t="shared" si="11"/>
        <v>1</v>
      </c>
      <c r="X15" s="24"/>
      <c r="Y15" s="24"/>
      <c r="Z15" s="26">
        <f t="shared" si="12"/>
        <v>0.9912841725343817</v>
      </c>
      <c r="AA15" s="24">
        <f t="shared" si="13"/>
        <v>494.68813043244865</v>
      </c>
      <c r="AB15" s="26">
        <f t="shared" si="14"/>
        <v>1.8856354237321307</v>
      </c>
      <c r="AC15" s="25">
        <f>SUM(НПn2017!N14)</f>
        <v>284.48852258960545</v>
      </c>
      <c r="AD15" s="26">
        <f t="shared" si="15"/>
        <v>0.6470026422486419</v>
      </c>
      <c r="AE15" s="26">
        <f t="shared" si="16"/>
        <v>0.3431218114093691</v>
      </c>
      <c r="AF15" s="24">
        <f>SUM(ПНД!K16)</f>
        <v>448.7</v>
      </c>
      <c r="AG15" s="35"/>
      <c r="AH15" s="25">
        <f t="shared" si="1"/>
        <v>8.440440278155743</v>
      </c>
      <c r="AI15" s="24">
        <f t="shared" si="17"/>
        <v>7042.454786726494</v>
      </c>
      <c r="AJ15" s="30">
        <f t="shared" si="18"/>
        <v>7042.454786726494</v>
      </c>
      <c r="AK15" s="83"/>
      <c r="AL15" s="30">
        <f t="shared" si="19"/>
        <v>441.9001681871464</v>
      </c>
      <c r="AM15" s="72">
        <f t="shared" si="2"/>
        <v>7484.3549549136405</v>
      </c>
      <c r="AN15" s="63"/>
    </row>
    <row r="16" spans="1:40" s="89" customFormat="1" ht="17.25">
      <c r="A16" s="19" t="s">
        <v>12</v>
      </c>
      <c r="B16" s="86">
        <f>SUM(B4:B15)</f>
        <v>19621</v>
      </c>
      <c r="C16" s="86">
        <f>SUM(C4:C15)</f>
        <v>19621</v>
      </c>
      <c r="D16" s="86">
        <f>SUM(D4:D15)</f>
        <v>3283</v>
      </c>
      <c r="E16" s="87">
        <f t="shared" si="3"/>
        <v>1</v>
      </c>
      <c r="F16" s="88">
        <f>SUM(F4:F15)</f>
        <v>418.29999999999995</v>
      </c>
      <c r="G16" s="87">
        <f t="shared" si="4"/>
        <v>1</v>
      </c>
      <c r="H16" s="86">
        <f>B16/12</f>
        <v>1635.0833333333333</v>
      </c>
      <c r="I16" s="115">
        <v>0.8</v>
      </c>
      <c r="J16" s="87">
        <f t="shared" si="0"/>
        <v>0.8166666666666667</v>
      </c>
      <c r="K16" s="88">
        <f>SUM('а1 а2 а3'!O16)</f>
        <v>0.602921132787213</v>
      </c>
      <c r="L16" s="88">
        <f>SUM('а1 а2 а3'!O28)</f>
        <v>0.01736615210487223</v>
      </c>
      <c r="M16" s="88">
        <f>SUM('а1 а2 а3'!O33)</f>
        <v>0.3797127151079149</v>
      </c>
      <c r="N16" s="82">
        <f>SUM(K$16*J16+L$16*G16+M$16*E16)</f>
        <v>0.889464458989011</v>
      </c>
      <c r="O16" s="88"/>
      <c r="P16" s="65">
        <f>SUM(P4:P15)</f>
        <v>2983596.2299999995</v>
      </c>
      <c r="Q16" s="88"/>
      <c r="R16" s="65">
        <f>SUM(R4:R15)</f>
        <v>55889128.65</v>
      </c>
      <c r="S16" s="88"/>
      <c r="T16" s="65">
        <f>SUM(T4:T15)</f>
        <v>103907.23999999999</v>
      </c>
      <c r="U16" s="87"/>
      <c r="V16" s="93">
        <f t="shared" si="10"/>
        <v>1</v>
      </c>
      <c r="W16" s="87">
        <f t="shared" si="11"/>
        <v>1</v>
      </c>
      <c r="X16" s="88">
        <f>SUM('q1q2'!O25)</f>
        <v>0.5153138330317226</v>
      </c>
      <c r="Y16" s="88">
        <f>SUM('q1q2'!O26)</f>
        <v>0.062346622639671646</v>
      </c>
      <c r="Z16" s="87">
        <f t="shared" si="12"/>
        <v>0.9376533773603284</v>
      </c>
      <c r="AA16" s="27">
        <f>SUM(AA4:AA15)</f>
        <v>19646.88070649787</v>
      </c>
      <c r="AB16" s="87">
        <f t="shared" si="14"/>
        <v>0.8329107189864186</v>
      </c>
      <c r="AC16" s="28">
        <f>SUM(AC4:AC15)</f>
        <v>32929</v>
      </c>
      <c r="AD16" s="26">
        <f t="shared" si="15"/>
        <v>1</v>
      </c>
      <c r="AE16" s="26">
        <f t="shared" si="16"/>
        <v>1.2006088734419398</v>
      </c>
      <c r="AF16" s="27">
        <f>SUM(AF4:AF15)</f>
        <v>34541.799999999996</v>
      </c>
      <c r="AG16" s="143">
        <v>257006.2</v>
      </c>
      <c r="AH16" s="28">
        <f t="shared" si="1"/>
        <v>8.440440278155743</v>
      </c>
      <c r="AI16" s="27">
        <f>SUM(AI4:AI15)</f>
        <v>257006.2</v>
      </c>
      <c r="AJ16" s="31">
        <f>SUM(AJ4:AJ15)</f>
        <v>257006.2</v>
      </c>
      <c r="AK16" s="142">
        <v>33093.6</v>
      </c>
      <c r="AL16" s="31">
        <f>SUM(AL4:AL15)</f>
        <v>33093.600000000006</v>
      </c>
      <c r="AM16" s="73">
        <f>SUM(AM4:AM15)</f>
        <v>290099.80000000005</v>
      </c>
      <c r="AN16" s="154"/>
    </row>
    <row r="17" ht="23.25" customHeight="1">
      <c r="AG17" s="155"/>
    </row>
    <row r="18" spans="15:33" s="63" customFormat="1" ht="18">
      <c r="O18" s="76"/>
      <c r="P18" s="76"/>
      <c r="Q18" s="76"/>
      <c r="R18" s="76"/>
      <c r="S18" s="76"/>
      <c r="T18" s="76">
        <f>SUM(S4:S15)</f>
        <v>63.9</v>
      </c>
      <c r="AG18" s="156"/>
    </row>
    <row r="19" spans="4:35" ht="12.75" customHeight="1">
      <c r="D19" s="84"/>
      <c r="E19" s="84"/>
      <c r="F19" s="84"/>
      <c r="G19" s="84"/>
      <c r="H19" s="84"/>
      <c r="I19" s="84"/>
      <c r="J19" s="84"/>
      <c r="K19" s="84"/>
      <c r="L19" s="84"/>
      <c r="M19" s="84"/>
      <c r="Z19" s="158" t="s">
        <v>125</v>
      </c>
      <c r="AA19" s="158"/>
      <c r="AB19" s="158"/>
      <c r="AC19" s="158"/>
      <c r="AD19" s="158"/>
      <c r="AE19" s="158"/>
      <c r="AF19" s="158"/>
      <c r="AG19" s="158"/>
      <c r="AH19" s="158"/>
      <c r="AI19" s="158"/>
    </row>
    <row r="20" spans="4:35" s="63" customFormat="1" ht="18">
      <c r="D20" s="84"/>
      <c r="E20" s="84"/>
      <c r="F20" s="84"/>
      <c r="G20" s="84"/>
      <c r="H20" s="84"/>
      <c r="I20" s="84"/>
      <c r="J20" s="84"/>
      <c r="K20" s="84"/>
      <c r="L20" s="84"/>
      <c r="M20" s="84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</row>
    <row r="22" s="63" customFormat="1" ht="18"/>
  </sheetData>
  <sheetProtection/>
  <mergeCells count="2">
    <mergeCell ref="A1:AM1"/>
    <mergeCell ref="Z19:AI20"/>
  </mergeCells>
  <printOptions/>
  <pageMargins left="0.15748031496062992" right="0.15748031496062992" top="0.7480314960629921" bottom="0.7480314960629921" header="0.31496062992125984" footer="0.31496062992125984"/>
  <pageSetup fitToWidth="2" fitToHeight="1" horizontalDpi="600" verticalDpi="600" orientation="landscape" paperSize="9" scale="53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G16" sqref="AG16:AG17"/>
    </sheetView>
  </sheetViews>
  <sheetFormatPr defaultColWidth="9.140625" defaultRowHeight="15"/>
  <cols>
    <col min="1" max="1" width="26.28125" style="78" customWidth="1"/>
    <col min="2" max="2" width="12.57421875" style="78" customWidth="1"/>
    <col min="3" max="3" width="12.8515625" style="78" customWidth="1"/>
    <col min="4" max="4" width="14.421875" style="78" customWidth="1"/>
    <col min="5" max="6" width="13.421875" style="78" customWidth="1"/>
    <col min="7" max="7" width="12.8515625" style="23" customWidth="1"/>
    <col min="8" max="8" width="13.7109375" style="23" customWidth="1"/>
    <col min="9" max="9" width="18.140625" style="23" customWidth="1"/>
    <col min="10" max="10" width="13.57421875" style="23" customWidth="1"/>
    <col min="11" max="12" width="16.28125" style="23" customWidth="1"/>
    <col min="13" max="13" width="15.421875" style="23" customWidth="1"/>
    <col min="14" max="14" width="13.57421875" style="23" customWidth="1"/>
    <col min="15" max="16" width="15.28125" style="90" customWidth="1"/>
    <col min="17" max="18" width="15.421875" style="90" customWidth="1"/>
    <col min="19" max="20" width="15.28125" style="90" customWidth="1"/>
    <col min="21" max="32" width="11.7109375" style="23" customWidth="1"/>
    <col min="33" max="34" width="16.28125" style="23" customWidth="1"/>
    <col min="35" max="35" width="18.421875" style="23" customWidth="1"/>
    <col min="36" max="36" width="13.7109375" style="23" customWidth="1"/>
    <col min="37" max="37" width="17.7109375" style="23" customWidth="1"/>
    <col min="38" max="38" width="14.7109375" style="91" customWidth="1"/>
    <col min="39" max="39" width="14.57421875" style="91" customWidth="1"/>
    <col min="40" max="16384" width="9.140625" style="78" customWidth="1"/>
  </cols>
  <sheetData>
    <row r="1" spans="1:39" ht="24.75" customHeight="1">
      <c r="A1" s="159" t="s">
        <v>134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</row>
    <row r="2" spans="1:39" s="79" customFormat="1" ht="249" customHeight="1">
      <c r="A2" s="16" t="s">
        <v>0</v>
      </c>
      <c r="B2" s="17" t="s">
        <v>152</v>
      </c>
      <c r="C2" s="17" t="s">
        <v>153</v>
      </c>
      <c r="D2" s="17" t="s">
        <v>15</v>
      </c>
      <c r="E2" s="21" t="s">
        <v>16</v>
      </c>
      <c r="F2" s="8" t="s">
        <v>59</v>
      </c>
      <c r="G2" s="21" t="s">
        <v>17</v>
      </c>
      <c r="H2" s="8" t="s">
        <v>18</v>
      </c>
      <c r="I2" s="8" t="s">
        <v>130</v>
      </c>
      <c r="J2" s="21" t="s">
        <v>20</v>
      </c>
      <c r="K2" s="18" t="s">
        <v>21</v>
      </c>
      <c r="L2" s="18" t="s">
        <v>22</v>
      </c>
      <c r="M2" s="18" t="s">
        <v>23</v>
      </c>
      <c r="N2" s="21" t="s">
        <v>33</v>
      </c>
      <c r="O2" s="9" t="s">
        <v>24</v>
      </c>
      <c r="P2" s="9" t="s">
        <v>131</v>
      </c>
      <c r="Q2" s="9" t="s">
        <v>26</v>
      </c>
      <c r="R2" s="9" t="s">
        <v>132</v>
      </c>
      <c r="S2" s="9" t="s">
        <v>25</v>
      </c>
      <c r="T2" s="9" t="s">
        <v>133</v>
      </c>
      <c r="U2" s="21" t="s">
        <v>27</v>
      </c>
      <c r="V2" s="8" t="s">
        <v>28</v>
      </c>
      <c r="W2" s="21" t="s">
        <v>29</v>
      </c>
      <c r="X2" s="8" t="s">
        <v>30</v>
      </c>
      <c r="Y2" s="8" t="s">
        <v>31</v>
      </c>
      <c r="Z2" s="21" t="s">
        <v>32</v>
      </c>
      <c r="AA2" s="14" t="s">
        <v>34</v>
      </c>
      <c r="AB2" s="20" t="s">
        <v>50</v>
      </c>
      <c r="AC2" s="21" t="s">
        <v>47</v>
      </c>
      <c r="AD2" s="20" t="s">
        <v>48</v>
      </c>
      <c r="AE2" s="21" t="s">
        <v>51</v>
      </c>
      <c r="AF2" s="14" t="s">
        <v>52</v>
      </c>
      <c r="AG2" s="22" t="s">
        <v>49</v>
      </c>
      <c r="AH2" s="21" t="s">
        <v>53</v>
      </c>
      <c r="AI2" s="8" t="s">
        <v>54</v>
      </c>
      <c r="AJ2" s="29" t="s">
        <v>55</v>
      </c>
      <c r="AK2" s="22" t="s">
        <v>56</v>
      </c>
      <c r="AL2" s="32" t="s">
        <v>57</v>
      </c>
      <c r="AM2" s="33" t="s">
        <v>58</v>
      </c>
    </row>
    <row r="3" spans="1:39" s="84" customFormat="1" ht="18">
      <c r="A3" s="19" t="s">
        <v>1</v>
      </c>
      <c r="B3" s="85">
        <v>5064</v>
      </c>
      <c r="C3" s="85">
        <v>5064</v>
      </c>
      <c r="D3" s="85">
        <v>465</v>
      </c>
      <c r="E3" s="26">
        <f>(1+D3/B3)/(1+D$15/B$15)</f>
        <v>0.9353253296677829</v>
      </c>
      <c r="F3" s="80">
        <v>128.4</v>
      </c>
      <c r="G3" s="26">
        <f>(F3/B3)/(F$15/B$15)</f>
        <v>1.1893360963412052</v>
      </c>
      <c r="H3" s="81"/>
      <c r="I3" s="24"/>
      <c r="J3" s="26">
        <f aca="true" t="shared" si="0" ref="J3:J15">SUM(I$15+(1-I$15)*H$15/B3)</f>
        <v>0.8645767509215376</v>
      </c>
      <c r="K3" s="80"/>
      <c r="L3" s="80"/>
      <c r="M3" s="80"/>
      <c r="N3" s="82">
        <f>SUM(K$15*J3+L$15*G3+M$15*E3)</f>
        <v>0.8970807060373374</v>
      </c>
      <c r="O3" s="80">
        <v>90.8</v>
      </c>
      <c r="P3" s="80">
        <f>SUM(O3*B3)</f>
        <v>459811.2</v>
      </c>
      <c r="Q3" s="80">
        <v>2054.79</v>
      </c>
      <c r="R3" s="80">
        <f>SUM(Q3*B3)</f>
        <v>10405456.56</v>
      </c>
      <c r="S3" s="80">
        <v>5.57</v>
      </c>
      <c r="T3" s="80">
        <f>SUM(S3*B3)</f>
        <v>28206.480000000003</v>
      </c>
      <c r="U3" s="26">
        <f>SUM(0.2*O3*B$15/P$15+0.65*Q3*B$15/R$15+0.15*S3*B$15/T$15)</f>
        <v>0.712469796965597</v>
      </c>
      <c r="V3" s="92">
        <f>SUM(C3/B3)</f>
        <v>1</v>
      </c>
      <c r="W3" s="26">
        <f>SUM((1+0.25*V3)/(1+0.25*V$15))</f>
        <v>1</v>
      </c>
      <c r="X3" s="24"/>
      <c r="Y3" s="24"/>
      <c r="Z3" s="26">
        <f>SUM(X$15*W3+Y$15*U3+1-X$15-Y$15)</f>
        <v>0.9820734629339061</v>
      </c>
      <c r="AA3" s="24">
        <f>SUM(Z3*N3*B3)</f>
        <v>4461.379723499001</v>
      </c>
      <c r="AB3" s="26">
        <f>SUM(Z3*N3*B$15/AA$15)</f>
        <v>0.8798363778172614</v>
      </c>
      <c r="AC3" s="25">
        <f>SUM(НПn2018!N3)</f>
        <v>16629.25857574995</v>
      </c>
      <c r="AD3" s="26">
        <f>(AC3/B3)/(AC$15/B$15)</f>
        <v>1.9379678030072676</v>
      </c>
      <c r="AE3" s="26">
        <f>SUM(AD3/AB3)</f>
        <v>2.202645687161819</v>
      </c>
      <c r="AF3" s="24">
        <f>SUM(ПНД!L5)</f>
        <v>11995.8</v>
      </c>
      <c r="AG3" s="35"/>
      <c r="AH3" s="25">
        <f aca="true" t="shared" si="1" ref="AH3:AH15">SUM(AF$15+AG$15)/AF$15</f>
        <v>7.29706598348925</v>
      </c>
      <c r="AI3" s="24">
        <f>SUM(AF$15/B$15)*(AH$15-AE3)*AB3*B3</f>
        <v>40819.9911453047</v>
      </c>
      <c r="AJ3" s="30">
        <f>SUM(AG$15*AI3/AI$15)</f>
        <v>40819.9911453047</v>
      </c>
      <c r="AK3" s="83"/>
      <c r="AL3" s="30">
        <f>SUM(AK$15*B3/B$15)</f>
        <v>8541.154395800419</v>
      </c>
      <c r="AM3" s="72">
        <f>SUM(AL3+AJ3)</f>
        <v>49361.14554110512</v>
      </c>
    </row>
    <row r="4" spans="1:39" s="84" customFormat="1" ht="18">
      <c r="A4" s="19" t="s">
        <v>2</v>
      </c>
      <c r="B4" s="85">
        <v>1985</v>
      </c>
      <c r="C4" s="85">
        <v>1985</v>
      </c>
      <c r="D4" s="85">
        <v>0</v>
      </c>
      <c r="E4" s="26">
        <f aca="true" t="shared" si="2" ref="E4:E15">(1+D4/B4)/(1+D$15/B$15)</f>
        <v>0.8566625916870416</v>
      </c>
      <c r="F4" s="80">
        <v>27.7</v>
      </c>
      <c r="G4" s="26">
        <f aca="true" t="shared" si="3" ref="G4:G15">(F4/B4)/(F$15/B$15)</f>
        <v>0.6545646255594945</v>
      </c>
      <c r="H4" s="81"/>
      <c r="I4" s="24"/>
      <c r="J4" s="26">
        <f t="shared" si="0"/>
        <v>0.9647439126784215</v>
      </c>
      <c r="K4" s="80"/>
      <c r="L4" s="80"/>
      <c r="M4" s="80"/>
      <c r="N4" s="82">
        <f aca="true" t="shared" si="4" ref="N4:N14">SUM(K$15*J4+L$15*G4+M$15*E4)</f>
        <v>0.9183174401524465</v>
      </c>
      <c r="O4" s="80">
        <v>123.49</v>
      </c>
      <c r="P4" s="80">
        <f aca="true" t="shared" si="5" ref="P4:P14">SUM(O4*B4)</f>
        <v>245127.65</v>
      </c>
      <c r="Q4" s="80">
        <v>0</v>
      </c>
      <c r="R4" s="80">
        <f aca="true" t="shared" si="6" ref="R4:R14">SUM(Q4*B4)</f>
        <v>0</v>
      </c>
      <c r="S4" s="80">
        <v>5.57</v>
      </c>
      <c r="T4" s="80">
        <f aca="true" t="shared" si="7" ref="T4:T14">SUM(S4*B4)</f>
        <v>11056.45</v>
      </c>
      <c r="U4" s="26">
        <f aca="true" t="shared" si="8" ref="U4:U14">SUM(0.2*O4*B$15/P$15+0.65*Q4*B$15/R$15+0.15*S4*B$15/T$15)</f>
        <v>0.30237675893784355</v>
      </c>
      <c r="V4" s="92">
        <f aca="true" t="shared" si="9" ref="V4:V15">SUM(C4/B4)</f>
        <v>1</v>
      </c>
      <c r="W4" s="26">
        <f aca="true" t="shared" si="10" ref="W4:W15">SUM((1+0.25*V4)/(1+0.25*V$15))</f>
        <v>1</v>
      </c>
      <c r="X4" s="24"/>
      <c r="Y4" s="24"/>
      <c r="Z4" s="26">
        <f aca="true" t="shared" si="11" ref="Z4:Z15">SUM(X$15*W4+Y$15*U4+1-X$15-Y$15)</f>
        <v>0.9565055470448329</v>
      </c>
      <c r="AA4" s="24">
        <f aca="true" t="shared" si="12" ref="AA4:AA14">SUM(Z4*N4*B4)</f>
        <v>1743.5758150258455</v>
      </c>
      <c r="AB4" s="26">
        <f aca="true" t="shared" si="13" ref="AB4:AB15">SUM(Z4*N4*B$15/AA$15)</f>
        <v>0.877216410269036</v>
      </c>
      <c r="AC4" s="25">
        <f>SUM(НПn2018!N4)</f>
        <v>2431.7430108587555</v>
      </c>
      <c r="AD4" s="26">
        <f aca="true" t="shared" si="14" ref="AD4:AD15">(AC4/B4)/(AC$15/B$15)</f>
        <v>0.7229770865500029</v>
      </c>
      <c r="AE4" s="26">
        <f aca="true" t="shared" si="15" ref="AE4:AE15">SUM(AD4/AB4)</f>
        <v>0.8241718669265102</v>
      </c>
      <c r="AF4" s="24">
        <f>SUM(ПНД!L6)</f>
        <v>3985.3</v>
      </c>
      <c r="AG4" s="35"/>
      <c r="AH4" s="25">
        <f t="shared" si="1"/>
        <v>7.29706598348925</v>
      </c>
      <c r="AI4" s="24">
        <f aca="true" t="shared" si="16" ref="AI4:AI14">SUM(AF$15/B$15)*(AH$15-AE4)*AB4*B4</f>
        <v>20269.744960218908</v>
      </c>
      <c r="AJ4" s="30">
        <f aca="true" t="shared" si="17" ref="AJ4:AJ14">SUM(AG$15*AI4/AI$15)</f>
        <v>20269.744960218908</v>
      </c>
      <c r="AK4" s="83"/>
      <c r="AL4" s="30">
        <f aca="true" t="shared" si="18" ref="AL4:AL14">SUM(AK$15*B4/B$15)</f>
        <v>3347.9840986697927</v>
      </c>
      <c r="AM4" s="72">
        <f aca="true" t="shared" si="19" ref="AM4:AM14">SUM(AL4+AJ4)</f>
        <v>23617.7290588887</v>
      </c>
    </row>
    <row r="5" spans="1:39" s="84" customFormat="1" ht="18">
      <c r="A5" s="19" t="s">
        <v>3</v>
      </c>
      <c r="B5" s="85">
        <v>1550</v>
      </c>
      <c r="C5" s="85">
        <v>1550</v>
      </c>
      <c r="D5" s="85">
        <v>91</v>
      </c>
      <c r="E5" s="26">
        <f t="shared" si="2"/>
        <v>0.9069569761022163</v>
      </c>
      <c r="F5" s="80">
        <v>31.4</v>
      </c>
      <c r="G5" s="26">
        <f t="shared" si="3"/>
        <v>0.9502354383719047</v>
      </c>
      <c r="H5" s="81"/>
      <c r="I5" s="24"/>
      <c r="J5" s="26">
        <f t="shared" si="0"/>
        <v>1.010978494623656</v>
      </c>
      <c r="K5" s="80"/>
      <c r="L5" s="80"/>
      <c r="M5" s="80"/>
      <c r="N5" s="82">
        <f t="shared" si="4"/>
        <v>0.9704253282420493</v>
      </c>
      <c r="O5" s="80">
        <v>352.37</v>
      </c>
      <c r="P5" s="80">
        <f t="shared" si="5"/>
        <v>546173.5</v>
      </c>
      <c r="Q5" s="80">
        <v>2945.01</v>
      </c>
      <c r="R5" s="80">
        <f t="shared" si="6"/>
        <v>4564765.5</v>
      </c>
      <c r="S5" s="80">
        <v>5.57</v>
      </c>
      <c r="T5" s="80">
        <f t="shared" si="7"/>
        <v>8633.5</v>
      </c>
      <c r="U5" s="26">
        <f t="shared" si="8"/>
        <v>1.2319566660872385</v>
      </c>
      <c r="V5" s="92">
        <f t="shared" si="9"/>
        <v>1</v>
      </c>
      <c r="W5" s="26">
        <f t="shared" si="10"/>
        <v>1</v>
      </c>
      <c r="X5" s="24"/>
      <c r="Y5" s="24"/>
      <c r="Z5" s="26">
        <f t="shared" si="11"/>
        <v>1.0144617147292974</v>
      </c>
      <c r="AA5" s="24">
        <f t="shared" si="12"/>
        <v>1525.9119808830144</v>
      </c>
      <c r="AB5" s="26">
        <f t="shared" si="13"/>
        <v>0.983160013947354</v>
      </c>
      <c r="AC5" s="25">
        <f>SUM(НПn2018!N5)</f>
        <v>3204.777967848526</v>
      </c>
      <c r="AD5" s="26">
        <f t="shared" si="14"/>
        <v>1.220207292533318</v>
      </c>
      <c r="AE5" s="26">
        <f t="shared" si="15"/>
        <v>1.241107525960324</v>
      </c>
      <c r="AF5" s="24">
        <f>SUM(ПНД!L7)</f>
        <v>4899.2</v>
      </c>
      <c r="AG5" s="35"/>
      <c r="AH5" s="25">
        <f t="shared" si="1"/>
        <v>7.29706598348925</v>
      </c>
      <c r="AI5" s="24">
        <f t="shared" si="16"/>
        <v>16596.683627316168</v>
      </c>
      <c r="AJ5" s="30">
        <f t="shared" si="17"/>
        <v>16596.683627316168</v>
      </c>
      <c r="AK5" s="83"/>
      <c r="AL5" s="30">
        <f t="shared" si="18"/>
        <v>2614.294888130065</v>
      </c>
      <c r="AM5" s="72">
        <f t="shared" si="19"/>
        <v>19210.978515446233</v>
      </c>
    </row>
    <row r="6" spans="1:39" s="84" customFormat="1" ht="18">
      <c r="A6" s="19" t="s">
        <v>4</v>
      </c>
      <c r="B6" s="85">
        <v>736</v>
      </c>
      <c r="C6" s="85">
        <v>736</v>
      </c>
      <c r="D6" s="85">
        <v>44</v>
      </c>
      <c r="E6" s="26">
        <f t="shared" si="2"/>
        <v>0.9078761161900712</v>
      </c>
      <c r="F6" s="80">
        <v>19.4</v>
      </c>
      <c r="G6" s="26">
        <f t="shared" si="3"/>
        <v>1.2363948539117962</v>
      </c>
      <c r="H6" s="81"/>
      <c r="I6" s="24"/>
      <c r="J6" s="26">
        <f t="shared" si="0"/>
        <v>1.2443161231884057</v>
      </c>
      <c r="K6" s="80"/>
      <c r="L6" s="80"/>
      <c r="M6" s="80"/>
      <c r="N6" s="82">
        <f t="shared" si="4"/>
        <v>1.1164280126930213</v>
      </c>
      <c r="O6" s="80">
        <v>352.37</v>
      </c>
      <c r="P6" s="80">
        <f t="shared" si="5"/>
        <v>259344.32</v>
      </c>
      <c r="Q6" s="80">
        <v>3683.48</v>
      </c>
      <c r="R6" s="80">
        <f t="shared" si="6"/>
        <v>2711041.28</v>
      </c>
      <c r="S6" s="80">
        <v>5.57</v>
      </c>
      <c r="T6" s="80">
        <f t="shared" si="7"/>
        <v>4099.52</v>
      </c>
      <c r="U6" s="26">
        <f t="shared" si="8"/>
        <v>1.3939040050788942</v>
      </c>
      <c r="V6" s="92">
        <f t="shared" si="9"/>
        <v>1</v>
      </c>
      <c r="W6" s="26">
        <f t="shared" si="10"/>
        <v>1</v>
      </c>
      <c r="X6" s="24"/>
      <c r="Y6" s="24"/>
      <c r="Z6" s="26">
        <f t="shared" si="11"/>
        <v>1.0245585843609093</v>
      </c>
      <c r="AA6" s="24">
        <f t="shared" si="12"/>
        <v>841.8705855100602</v>
      </c>
      <c r="AB6" s="26">
        <f t="shared" si="13"/>
        <v>1.1423362109504112</v>
      </c>
      <c r="AC6" s="25">
        <f>SUM(НПn2018!N6)</f>
        <v>542.6368713426868</v>
      </c>
      <c r="AD6" s="26">
        <f t="shared" si="14"/>
        <v>0.435109788776889</v>
      </c>
      <c r="AE6" s="26">
        <f t="shared" si="15"/>
        <v>0.3808946828490033</v>
      </c>
      <c r="AF6" s="24">
        <f>SUM(ПНД!L13)</f>
        <v>937.3</v>
      </c>
      <c r="AG6" s="35"/>
      <c r="AH6" s="25">
        <f t="shared" si="1"/>
        <v>7.29706598348925</v>
      </c>
      <c r="AI6" s="24">
        <f t="shared" si="16"/>
        <v>10457.310955327534</v>
      </c>
      <c r="AJ6" s="30">
        <f t="shared" si="17"/>
        <v>10457.310955327534</v>
      </c>
      <c r="AK6" s="83"/>
      <c r="AL6" s="30">
        <f t="shared" si="18"/>
        <v>1241.3684113959532</v>
      </c>
      <c r="AM6" s="72">
        <f t="shared" si="19"/>
        <v>11698.679366723487</v>
      </c>
    </row>
    <row r="7" spans="1:39" s="84" customFormat="1" ht="18">
      <c r="A7" s="19" t="s">
        <v>81</v>
      </c>
      <c r="B7" s="85">
        <v>881</v>
      </c>
      <c r="C7" s="85">
        <v>881</v>
      </c>
      <c r="D7" s="85">
        <v>352</v>
      </c>
      <c r="E7" s="26">
        <f t="shared" si="2"/>
        <v>1.1989386782634759</v>
      </c>
      <c r="F7" s="80">
        <v>23.2</v>
      </c>
      <c r="G7" s="26">
        <f t="shared" si="3"/>
        <v>1.235222943089197</v>
      </c>
      <c r="H7" s="81"/>
      <c r="I7" s="24"/>
      <c r="J7" s="26">
        <f t="shared" si="0"/>
        <v>1.1711880438895195</v>
      </c>
      <c r="K7" s="80"/>
      <c r="L7" s="80"/>
      <c r="M7" s="80"/>
      <c r="N7" s="82">
        <f t="shared" si="4"/>
        <v>1.1828373524131435</v>
      </c>
      <c r="O7" s="80">
        <v>225.87</v>
      </c>
      <c r="P7" s="80">
        <f t="shared" si="5"/>
        <v>198991.47</v>
      </c>
      <c r="Q7" s="80">
        <v>4651.12</v>
      </c>
      <c r="R7" s="80">
        <f t="shared" si="6"/>
        <v>4097636.7199999997</v>
      </c>
      <c r="S7" s="80">
        <v>5.57</v>
      </c>
      <c r="T7" s="80">
        <f t="shared" si="7"/>
        <v>4907.17</v>
      </c>
      <c r="U7" s="26">
        <f t="shared" si="8"/>
        <v>1.4492902935570302</v>
      </c>
      <c r="V7" s="92">
        <f t="shared" si="9"/>
        <v>1</v>
      </c>
      <c r="W7" s="26">
        <f t="shared" si="10"/>
        <v>1</v>
      </c>
      <c r="X7" s="24"/>
      <c r="Y7" s="24"/>
      <c r="Z7" s="26">
        <f t="shared" si="11"/>
        <v>1.0280117323880675</v>
      </c>
      <c r="AA7" s="24">
        <f t="shared" si="12"/>
        <v>1071.2701653688323</v>
      </c>
      <c r="AB7" s="26">
        <f t="shared" si="13"/>
        <v>1.214365789372945</v>
      </c>
      <c r="AC7" s="25">
        <f>SUM(НПn2018!N7)</f>
        <v>1268.3049009607946</v>
      </c>
      <c r="AD7" s="26">
        <f t="shared" si="14"/>
        <v>0.8496012258087982</v>
      </c>
      <c r="AE7" s="26">
        <f t="shared" si="15"/>
        <v>0.6996254614908922</v>
      </c>
      <c r="AF7" s="24">
        <f>SUM(ПНД!L9)</f>
        <v>1214.7</v>
      </c>
      <c r="AG7" s="35"/>
      <c r="AH7" s="25">
        <f t="shared" si="1"/>
        <v>7.29706598348925</v>
      </c>
      <c r="AI7" s="24">
        <f t="shared" si="16"/>
        <v>12693.559958647465</v>
      </c>
      <c r="AJ7" s="30">
        <f t="shared" si="17"/>
        <v>12693.559958647465</v>
      </c>
      <c r="AK7" s="83"/>
      <c r="AL7" s="30">
        <f t="shared" si="18"/>
        <v>1485.9314815758626</v>
      </c>
      <c r="AM7" s="72">
        <f t="shared" si="19"/>
        <v>14179.491440223328</v>
      </c>
    </row>
    <row r="8" spans="1:39" s="84" customFormat="1" ht="18">
      <c r="A8" s="19" t="s">
        <v>6</v>
      </c>
      <c r="B8" s="85">
        <v>1945</v>
      </c>
      <c r="C8" s="85">
        <v>1945</v>
      </c>
      <c r="D8" s="85">
        <v>296</v>
      </c>
      <c r="E8" s="26">
        <f t="shared" si="2"/>
        <v>0.9870338652805452</v>
      </c>
      <c r="F8" s="80">
        <v>30.8</v>
      </c>
      <c r="G8" s="26">
        <f t="shared" si="3"/>
        <v>0.7427871535355186</v>
      </c>
      <c r="H8" s="81"/>
      <c r="I8" s="24"/>
      <c r="J8" s="26">
        <f t="shared" si="0"/>
        <v>0.9681319622964868</v>
      </c>
      <c r="K8" s="80"/>
      <c r="L8" s="80"/>
      <c r="M8" s="80"/>
      <c r="N8" s="82">
        <f t="shared" si="4"/>
        <v>0.9713958829742839</v>
      </c>
      <c r="O8" s="80">
        <v>123.49</v>
      </c>
      <c r="P8" s="80">
        <f t="shared" si="5"/>
        <v>240188.05</v>
      </c>
      <c r="Q8" s="80">
        <v>3613.74</v>
      </c>
      <c r="R8" s="80">
        <f t="shared" si="6"/>
        <v>7028724.3</v>
      </c>
      <c r="S8" s="80">
        <v>5.57</v>
      </c>
      <c r="T8" s="80">
        <f t="shared" si="7"/>
        <v>10833.650000000001</v>
      </c>
      <c r="U8" s="26">
        <f t="shared" si="8"/>
        <v>1.0948741884985642</v>
      </c>
      <c r="V8" s="92">
        <f t="shared" si="9"/>
        <v>1</v>
      </c>
      <c r="W8" s="26">
        <f t="shared" si="10"/>
        <v>1</v>
      </c>
      <c r="X8" s="24"/>
      <c r="Y8" s="24"/>
      <c r="Z8" s="26">
        <f t="shared" si="11"/>
        <v>1.005915085228565</v>
      </c>
      <c r="AA8" s="24">
        <f t="shared" si="12"/>
        <v>1900.5407473428063</v>
      </c>
      <c r="AB8" s="26">
        <f t="shared" si="13"/>
        <v>0.9758521018747095</v>
      </c>
      <c r="AC8" s="25">
        <f>SUM(НПn2018!N8)</f>
        <v>1297.5339959270439</v>
      </c>
      <c r="AD8" s="26">
        <f t="shared" si="14"/>
        <v>0.3937009908502376</v>
      </c>
      <c r="AE8" s="26">
        <f t="shared" si="15"/>
        <v>0.4034432985222849</v>
      </c>
      <c r="AF8" s="24">
        <f>SUM(ПНД!L14)</f>
        <v>1738</v>
      </c>
      <c r="AG8" s="35"/>
      <c r="AH8" s="25">
        <f t="shared" si="1"/>
        <v>7.29706598348925</v>
      </c>
      <c r="AI8" s="24">
        <f t="shared" si="16"/>
        <v>23530.63457573262</v>
      </c>
      <c r="AJ8" s="30">
        <f t="shared" si="17"/>
        <v>23530.63457573262</v>
      </c>
      <c r="AK8" s="83"/>
      <c r="AL8" s="30">
        <f t="shared" si="18"/>
        <v>3280.5184241374036</v>
      </c>
      <c r="AM8" s="72">
        <f t="shared" si="19"/>
        <v>26811.152999870024</v>
      </c>
    </row>
    <row r="9" spans="1:39" s="84" customFormat="1" ht="18">
      <c r="A9" s="19" t="s">
        <v>14</v>
      </c>
      <c r="B9" s="85">
        <v>3194</v>
      </c>
      <c r="C9" s="85">
        <v>3194</v>
      </c>
      <c r="D9" s="85">
        <v>879</v>
      </c>
      <c r="E9" s="26">
        <f t="shared" si="2"/>
        <v>1.0924191408707953</v>
      </c>
      <c r="F9" s="80">
        <v>70.8</v>
      </c>
      <c r="G9" s="26">
        <f t="shared" si="3"/>
        <v>1.0397564402894444</v>
      </c>
      <c r="H9" s="81"/>
      <c r="I9" s="24"/>
      <c r="J9" s="26">
        <f t="shared" si="0"/>
        <v>0.9023846796075976</v>
      </c>
      <c r="K9" s="80"/>
      <c r="L9" s="80"/>
      <c r="M9" s="80"/>
      <c r="N9" s="82">
        <f t="shared" si="4"/>
        <v>0.9769287997488315</v>
      </c>
      <c r="O9" s="80">
        <v>225.87</v>
      </c>
      <c r="P9" s="80">
        <f t="shared" si="5"/>
        <v>721428.78</v>
      </c>
      <c r="Q9" s="80">
        <v>3361.3</v>
      </c>
      <c r="R9" s="80">
        <f t="shared" si="6"/>
        <v>10735992.200000001</v>
      </c>
      <c r="S9" s="80">
        <v>5.57</v>
      </c>
      <c r="T9" s="80">
        <f t="shared" si="7"/>
        <v>17790.58</v>
      </c>
      <c r="U9" s="26">
        <f t="shared" si="8"/>
        <v>1.1664312515130515</v>
      </c>
      <c r="V9" s="92">
        <f t="shared" si="9"/>
        <v>1</v>
      </c>
      <c r="W9" s="26">
        <f t="shared" si="10"/>
        <v>1</v>
      </c>
      <c r="X9" s="24"/>
      <c r="Y9" s="24"/>
      <c r="Z9" s="26">
        <f t="shared" si="11"/>
        <v>1.0103764264335324</v>
      </c>
      <c r="AA9" s="24">
        <f t="shared" si="12"/>
        <v>3152.6882596472965</v>
      </c>
      <c r="AB9" s="26">
        <f t="shared" si="13"/>
        <v>0.9857630608672103</v>
      </c>
      <c r="AC9" s="25">
        <f>SUM(НПn2018!N9)</f>
        <v>3221.3164812587693</v>
      </c>
      <c r="AD9" s="26">
        <f t="shared" si="14"/>
        <v>0.5952040133094666</v>
      </c>
      <c r="AE9" s="26">
        <f t="shared" si="15"/>
        <v>0.6038002811607129</v>
      </c>
      <c r="AF9" s="24">
        <f>SUM(ПНД!L12)</f>
        <v>4248.3</v>
      </c>
      <c r="AG9" s="35"/>
      <c r="AH9" s="25">
        <f t="shared" si="1"/>
        <v>7.29706598348925</v>
      </c>
      <c r="AI9" s="24">
        <f t="shared" si="16"/>
        <v>37899.02523920158</v>
      </c>
      <c r="AJ9" s="30">
        <f t="shared" si="17"/>
        <v>37899.02523920158</v>
      </c>
      <c r="AK9" s="83"/>
      <c r="AL9" s="30">
        <f t="shared" si="18"/>
        <v>5387.134111411243</v>
      </c>
      <c r="AM9" s="72">
        <f t="shared" si="19"/>
        <v>43286.15935061283</v>
      </c>
    </row>
    <row r="10" spans="1:39" s="84" customFormat="1" ht="18">
      <c r="A10" s="19" t="s">
        <v>7</v>
      </c>
      <c r="B10" s="85">
        <v>892</v>
      </c>
      <c r="C10" s="85">
        <v>892</v>
      </c>
      <c r="D10" s="85">
        <v>260</v>
      </c>
      <c r="E10" s="26">
        <f t="shared" si="2"/>
        <v>1.106362450250529</v>
      </c>
      <c r="F10" s="80">
        <v>16.8</v>
      </c>
      <c r="G10" s="26">
        <f t="shared" si="3"/>
        <v>0.883441304704393</v>
      </c>
      <c r="H10" s="81"/>
      <c r="I10" s="24"/>
      <c r="J10" s="26">
        <f t="shared" si="0"/>
        <v>1.1666106128550076</v>
      </c>
      <c r="K10" s="80"/>
      <c r="L10" s="80"/>
      <c r="M10" s="80"/>
      <c r="N10" s="82">
        <f t="shared" si="4"/>
        <v>1.138816058175423</v>
      </c>
      <c r="O10" s="80">
        <v>123.49</v>
      </c>
      <c r="P10" s="80">
        <f t="shared" si="5"/>
        <v>110153.08</v>
      </c>
      <c r="Q10" s="80">
        <v>4023.07</v>
      </c>
      <c r="R10" s="80">
        <f t="shared" si="6"/>
        <v>3588578.44</v>
      </c>
      <c r="S10" s="80">
        <v>5.57</v>
      </c>
      <c r="T10" s="80">
        <f t="shared" si="7"/>
        <v>4968.4400000000005</v>
      </c>
      <c r="U10" s="26">
        <f t="shared" si="8"/>
        <v>1.18464073862173</v>
      </c>
      <c r="V10" s="92">
        <f t="shared" si="9"/>
        <v>1</v>
      </c>
      <c r="W10" s="26">
        <f t="shared" si="10"/>
        <v>1</v>
      </c>
      <c r="X10" s="24"/>
      <c r="Y10" s="24"/>
      <c r="Z10" s="26">
        <f t="shared" si="11"/>
        <v>1.0115117264547593</v>
      </c>
      <c r="AA10" s="24">
        <f t="shared" si="12"/>
        <v>1027.5178110305276</v>
      </c>
      <c r="AB10" s="26">
        <f t="shared" si="13"/>
        <v>1.1504054396805148</v>
      </c>
      <c r="AC10" s="25">
        <f>SUM(НПn2018!N10)</f>
        <v>544.3411076889998</v>
      </c>
      <c r="AD10" s="26">
        <f t="shared" si="14"/>
        <v>0.3601418958502328</v>
      </c>
      <c r="AE10" s="26">
        <f t="shared" si="15"/>
        <v>0.31305649593438095</v>
      </c>
      <c r="AF10" s="24">
        <f>SUM(ПНД!L10)</f>
        <v>828.6</v>
      </c>
      <c r="AG10" s="35"/>
      <c r="AH10" s="25">
        <f t="shared" si="1"/>
        <v>7.29706598348925</v>
      </c>
      <c r="AI10" s="24">
        <f t="shared" si="16"/>
        <v>12888.5222151266</v>
      </c>
      <c r="AJ10" s="30">
        <f t="shared" si="17"/>
        <v>12888.5222151266</v>
      </c>
      <c r="AK10" s="83"/>
      <c r="AL10" s="30">
        <f t="shared" si="18"/>
        <v>1504.4845420722695</v>
      </c>
      <c r="AM10" s="72">
        <f t="shared" si="19"/>
        <v>14393.00675719887</v>
      </c>
    </row>
    <row r="11" spans="1:39" s="84" customFormat="1" ht="18">
      <c r="A11" s="19" t="s">
        <v>80</v>
      </c>
      <c r="B11" s="85">
        <v>1011</v>
      </c>
      <c r="C11" s="85">
        <v>1011</v>
      </c>
      <c r="D11" s="85">
        <v>328</v>
      </c>
      <c r="E11" s="26">
        <f t="shared" si="2"/>
        <v>1.1345907124321946</v>
      </c>
      <c r="F11" s="80">
        <v>17.9</v>
      </c>
      <c r="G11" s="26">
        <f t="shared" si="3"/>
        <v>0.8304914172645012</v>
      </c>
      <c r="H11" s="81"/>
      <c r="I11" s="24"/>
      <c r="J11" s="26">
        <f t="shared" si="0"/>
        <v>1.1234586218265743</v>
      </c>
      <c r="K11" s="80"/>
      <c r="L11" s="80"/>
      <c r="M11" s="80"/>
      <c r="N11" s="82">
        <f t="shared" si="4"/>
        <v>1.1225979051390975</v>
      </c>
      <c r="O11" s="80">
        <v>123.49</v>
      </c>
      <c r="P11" s="80">
        <f t="shared" si="5"/>
        <v>124848.39</v>
      </c>
      <c r="Q11" s="80">
        <v>5147.16</v>
      </c>
      <c r="R11" s="80">
        <f t="shared" si="6"/>
        <v>5203778.76</v>
      </c>
      <c r="S11" s="80">
        <v>5.57</v>
      </c>
      <c r="T11" s="80">
        <f t="shared" si="7"/>
        <v>5631.27</v>
      </c>
      <c r="U11" s="26">
        <f t="shared" si="8"/>
        <v>1.4311549968680097</v>
      </c>
      <c r="V11" s="92">
        <f t="shared" si="9"/>
        <v>1</v>
      </c>
      <c r="W11" s="26">
        <f t="shared" si="10"/>
        <v>1</v>
      </c>
      <c r="X11" s="24"/>
      <c r="Y11" s="24"/>
      <c r="Z11" s="26">
        <f t="shared" si="11"/>
        <v>1.0268810578889387</v>
      </c>
      <c r="AA11" s="24">
        <f t="shared" si="12"/>
        <v>1165.4550441816875</v>
      </c>
      <c r="AB11" s="26">
        <f t="shared" si="13"/>
        <v>1.1512530467902256</v>
      </c>
      <c r="AC11" s="25">
        <f>SUM(НПn2018!N11)</f>
        <v>949.5250300619542</v>
      </c>
      <c r="AD11" s="26">
        <f t="shared" si="14"/>
        <v>0.5542716043450582</v>
      </c>
      <c r="AE11" s="26">
        <f t="shared" si="15"/>
        <v>0.48145071658260225</v>
      </c>
      <c r="AF11" s="24">
        <f>SUM(ПНД!L15)</f>
        <v>928.3</v>
      </c>
      <c r="AG11" s="35"/>
      <c r="AH11" s="25">
        <f t="shared" si="1"/>
        <v>7.29706598348925</v>
      </c>
      <c r="AI11" s="24">
        <f t="shared" si="16"/>
        <v>14266.24039942627</v>
      </c>
      <c r="AJ11" s="30">
        <f t="shared" si="17"/>
        <v>14266.24039942627</v>
      </c>
      <c r="AK11" s="83"/>
      <c r="AL11" s="30">
        <f t="shared" si="18"/>
        <v>1705.1949238061259</v>
      </c>
      <c r="AM11" s="72">
        <f t="shared" si="19"/>
        <v>15971.435323232396</v>
      </c>
    </row>
    <row r="12" spans="1:39" s="84" customFormat="1" ht="18">
      <c r="A12" s="19" t="s">
        <v>9</v>
      </c>
      <c r="B12" s="85">
        <v>1267</v>
      </c>
      <c r="C12" s="85">
        <v>1267</v>
      </c>
      <c r="D12" s="85">
        <v>306</v>
      </c>
      <c r="E12" s="26">
        <f t="shared" si="2"/>
        <v>1.0635597922049853</v>
      </c>
      <c r="F12" s="80">
        <v>31.5</v>
      </c>
      <c r="G12" s="26">
        <f t="shared" si="3"/>
        <v>1.166184358419966</v>
      </c>
      <c r="H12" s="81"/>
      <c r="I12" s="24"/>
      <c r="J12" s="26">
        <f t="shared" si="0"/>
        <v>1.0581031307550646</v>
      </c>
      <c r="K12" s="80"/>
      <c r="L12" s="80"/>
      <c r="M12" s="80"/>
      <c r="N12" s="82">
        <f t="shared" si="4"/>
        <v>1.0620520495289487</v>
      </c>
      <c r="O12" s="80">
        <v>123.49</v>
      </c>
      <c r="P12" s="80">
        <f t="shared" si="5"/>
        <v>156461.83</v>
      </c>
      <c r="Q12" s="80">
        <v>4023.07</v>
      </c>
      <c r="R12" s="80">
        <f t="shared" si="6"/>
        <v>5097229.69</v>
      </c>
      <c r="S12" s="80">
        <v>5.91</v>
      </c>
      <c r="T12" s="80">
        <f t="shared" si="7"/>
        <v>7487.97</v>
      </c>
      <c r="U12" s="26">
        <f t="shared" si="8"/>
        <v>1.1937535850112235</v>
      </c>
      <c r="V12" s="92">
        <f t="shared" si="9"/>
        <v>1</v>
      </c>
      <c r="W12" s="26">
        <f t="shared" si="10"/>
        <v>1</v>
      </c>
      <c r="X12" s="24"/>
      <c r="Y12" s="24"/>
      <c r="Z12" s="26">
        <f t="shared" si="11"/>
        <v>1.0120798816497785</v>
      </c>
      <c r="AA12" s="24">
        <f t="shared" si="12"/>
        <v>1361.8748764555376</v>
      </c>
      <c r="AB12" s="26">
        <f t="shared" si="13"/>
        <v>1.0734628412623313</v>
      </c>
      <c r="AC12" s="25">
        <f>SUM(НПn2018!N12)</f>
        <v>2256.180454262498</v>
      </c>
      <c r="AD12" s="26">
        <f t="shared" si="14"/>
        <v>1.050907728121011</v>
      </c>
      <c r="AE12" s="26">
        <f t="shared" si="15"/>
        <v>0.9789884546773909</v>
      </c>
      <c r="AF12" s="24">
        <f>SUM(ПНД!L11)</f>
        <v>3013.9</v>
      </c>
      <c r="AG12" s="35"/>
      <c r="AH12" s="25">
        <f t="shared" si="1"/>
        <v>7.29706598348925</v>
      </c>
      <c r="AI12" s="24">
        <f t="shared" si="16"/>
        <v>15453.651143057325</v>
      </c>
      <c r="AJ12" s="30">
        <f t="shared" si="17"/>
        <v>15453.651143057326</v>
      </c>
      <c r="AK12" s="83"/>
      <c r="AL12" s="30">
        <f t="shared" si="18"/>
        <v>2136.975240813414</v>
      </c>
      <c r="AM12" s="72">
        <f t="shared" si="19"/>
        <v>17590.626383870742</v>
      </c>
    </row>
    <row r="13" spans="1:39" s="84" customFormat="1" ht="18">
      <c r="A13" s="19" t="s">
        <v>10</v>
      </c>
      <c r="B13" s="85">
        <v>834</v>
      </c>
      <c r="C13" s="85">
        <v>834</v>
      </c>
      <c r="D13" s="85">
        <v>0</v>
      </c>
      <c r="E13" s="26">
        <f t="shared" si="2"/>
        <v>0.8566625916870416</v>
      </c>
      <c r="F13" s="80">
        <v>14.2</v>
      </c>
      <c r="G13" s="26">
        <f t="shared" si="3"/>
        <v>0.7986482915030634</v>
      </c>
      <c r="H13" s="81"/>
      <c r="I13" s="24"/>
      <c r="J13" s="26">
        <f t="shared" si="0"/>
        <v>1.1921063149480415</v>
      </c>
      <c r="K13" s="80"/>
      <c r="L13" s="80"/>
      <c r="M13" s="80"/>
      <c r="N13" s="82">
        <f t="shared" si="4"/>
        <v>1.0579012161406713</v>
      </c>
      <c r="O13" s="80">
        <v>123.49</v>
      </c>
      <c r="P13" s="80">
        <f t="shared" si="5"/>
        <v>102990.65999999999</v>
      </c>
      <c r="Q13" s="80">
        <v>4651.12</v>
      </c>
      <c r="R13" s="80">
        <f t="shared" si="6"/>
        <v>3879034.08</v>
      </c>
      <c r="S13" s="80">
        <v>5.57</v>
      </c>
      <c r="T13" s="80">
        <f t="shared" si="7"/>
        <v>4645.38</v>
      </c>
      <c r="U13" s="26">
        <f t="shared" si="8"/>
        <v>1.322372841826612</v>
      </c>
      <c r="V13" s="92">
        <f t="shared" si="9"/>
        <v>1</v>
      </c>
      <c r="W13" s="26">
        <f t="shared" si="10"/>
        <v>1</v>
      </c>
      <c r="X13" s="24"/>
      <c r="Y13" s="24"/>
      <c r="Z13" s="26">
        <f t="shared" si="11"/>
        <v>1.0200988579186423</v>
      </c>
      <c r="AA13" s="24">
        <f t="shared" si="12"/>
        <v>900.0226278614518</v>
      </c>
      <c r="AB13" s="26">
        <f t="shared" si="13"/>
        <v>1.077739499082401</v>
      </c>
      <c r="AC13" s="25">
        <f>SUM(НПn2018!N13)</f>
        <v>614.5158796881833</v>
      </c>
      <c r="AD13" s="26">
        <f t="shared" si="14"/>
        <v>0.4348449465876802</v>
      </c>
      <c r="AE13" s="26">
        <f t="shared" si="15"/>
        <v>0.4034787135090733</v>
      </c>
      <c r="AF13" s="24">
        <f>SUM(ПНД!L8)</f>
        <v>1047.3</v>
      </c>
      <c r="AG13" s="35"/>
      <c r="AH13" s="25">
        <f t="shared" si="1"/>
        <v>7.29706598348925</v>
      </c>
      <c r="AI13" s="24">
        <f t="shared" si="16"/>
        <v>11143.141653906769</v>
      </c>
      <c r="AJ13" s="30">
        <f t="shared" si="17"/>
        <v>11143.141653906769</v>
      </c>
      <c r="AK13" s="83"/>
      <c r="AL13" s="30">
        <f t="shared" si="18"/>
        <v>1406.6593140003058</v>
      </c>
      <c r="AM13" s="72">
        <f t="shared" si="19"/>
        <v>12549.800967907075</v>
      </c>
    </row>
    <row r="14" spans="1:39" s="84" customFormat="1" ht="18">
      <c r="A14" s="19" t="s">
        <v>11</v>
      </c>
      <c r="B14" s="85">
        <v>262</v>
      </c>
      <c r="C14" s="85">
        <v>262</v>
      </c>
      <c r="D14" s="85">
        <v>262</v>
      </c>
      <c r="E14" s="26">
        <f t="shared" si="2"/>
        <v>1.7133251833740832</v>
      </c>
      <c r="F14" s="80">
        <v>6.2</v>
      </c>
      <c r="G14" s="26">
        <f t="shared" si="3"/>
        <v>1.1100017701602087</v>
      </c>
      <c r="H14" s="81"/>
      <c r="I14" s="24"/>
      <c r="J14" s="26">
        <f t="shared" si="0"/>
        <v>2.0481552162849868</v>
      </c>
      <c r="K14" s="80"/>
      <c r="L14" s="80"/>
      <c r="M14" s="80"/>
      <c r="N14" s="82">
        <f t="shared" si="4"/>
        <v>1.9047238799456025</v>
      </c>
      <c r="O14" s="80">
        <v>0</v>
      </c>
      <c r="P14" s="80">
        <f t="shared" si="5"/>
        <v>0</v>
      </c>
      <c r="Q14" s="80">
        <v>3219.96</v>
      </c>
      <c r="R14" s="80">
        <f t="shared" si="6"/>
        <v>843629.52</v>
      </c>
      <c r="S14" s="80">
        <v>5.91</v>
      </c>
      <c r="T14" s="80">
        <f t="shared" si="7"/>
        <v>1548.42</v>
      </c>
      <c r="U14" s="26">
        <f t="shared" si="8"/>
        <v>0.8645437249557993</v>
      </c>
      <c r="V14" s="92">
        <f t="shared" si="9"/>
        <v>1</v>
      </c>
      <c r="W14" s="26">
        <f t="shared" si="10"/>
        <v>1</v>
      </c>
      <c r="X14" s="24"/>
      <c r="Y14" s="24"/>
      <c r="Z14" s="26">
        <f t="shared" si="11"/>
        <v>0.9915547587356437</v>
      </c>
      <c r="AA14" s="24">
        <f t="shared" si="12"/>
        <v>494.82316313622005</v>
      </c>
      <c r="AB14" s="26">
        <f t="shared" si="13"/>
        <v>1.8861453277239355</v>
      </c>
      <c r="AC14" s="25">
        <f>SUM(НПn2018!N14)</f>
        <v>286.9657243518318</v>
      </c>
      <c r="AD14" s="26">
        <f t="shared" si="14"/>
        <v>0.6463921949488625</v>
      </c>
      <c r="AE14" s="26">
        <f t="shared" si="15"/>
        <v>0.34270540315622555</v>
      </c>
      <c r="AF14" s="24">
        <f>SUM(ПНД!L16)</f>
        <v>449.4</v>
      </c>
      <c r="AG14" s="35"/>
      <c r="AH14" s="25">
        <f t="shared" si="1"/>
        <v>7.29706598348925</v>
      </c>
      <c r="AI14" s="24">
        <f t="shared" si="16"/>
        <v>6180.394126734055</v>
      </c>
      <c r="AJ14" s="30">
        <f t="shared" si="17"/>
        <v>6180.394126734054</v>
      </c>
      <c r="AK14" s="83"/>
      <c r="AL14" s="30">
        <f t="shared" si="18"/>
        <v>441.9001681871464</v>
      </c>
      <c r="AM14" s="72">
        <f t="shared" si="19"/>
        <v>6622.294294921201</v>
      </c>
    </row>
    <row r="15" spans="1:39" s="89" customFormat="1" ht="17.25">
      <c r="A15" s="19" t="s">
        <v>12</v>
      </c>
      <c r="B15" s="86">
        <f>SUM(B3:B14)</f>
        <v>19621</v>
      </c>
      <c r="C15" s="86">
        <f>SUM(C3:C14)</f>
        <v>19621</v>
      </c>
      <c r="D15" s="86">
        <f>SUM(D3:D14)</f>
        <v>3283</v>
      </c>
      <c r="E15" s="87">
        <f t="shared" si="2"/>
        <v>1</v>
      </c>
      <c r="F15" s="88">
        <f>SUM(F3:F14)</f>
        <v>418.29999999999995</v>
      </c>
      <c r="G15" s="87">
        <f t="shared" si="3"/>
        <v>1</v>
      </c>
      <c r="H15" s="86">
        <f>B15/12</f>
        <v>1635.0833333333333</v>
      </c>
      <c r="I15" s="93">
        <v>0.8</v>
      </c>
      <c r="J15" s="87">
        <f t="shared" si="0"/>
        <v>0.8166666666666667</v>
      </c>
      <c r="K15" s="88">
        <f>SUM('а1 а2 а3'!O16)</f>
        <v>0.602921132787213</v>
      </c>
      <c r="L15" s="88">
        <f>SUM('а1 а2 а3'!O28)</f>
        <v>0.01736615210487223</v>
      </c>
      <c r="M15" s="88">
        <f>SUM('а1 а2 а3'!O33)</f>
        <v>0.3797127151079149</v>
      </c>
      <c r="N15" s="82">
        <f>SUM(K$15*J15+L$15*G15+M$15*E15)</f>
        <v>0.889464458989011</v>
      </c>
      <c r="O15" s="88"/>
      <c r="P15" s="88">
        <f>SUM(P3:P14)</f>
        <v>3165518.9300000006</v>
      </c>
      <c r="Q15" s="88"/>
      <c r="R15" s="88">
        <f>SUM(R3:R14)</f>
        <v>58155867.05</v>
      </c>
      <c r="S15" s="88"/>
      <c r="T15" s="88">
        <f>SUM(T3:T14)</f>
        <v>109808.83000000003</v>
      </c>
      <c r="U15" s="87"/>
      <c r="V15" s="93">
        <f t="shared" si="9"/>
        <v>1</v>
      </c>
      <c r="W15" s="87">
        <f t="shared" si="10"/>
        <v>1</v>
      </c>
      <c r="X15" s="88">
        <f>SUM('q1q2'!O25)</f>
        <v>0.5153138330317226</v>
      </c>
      <c r="Y15" s="88">
        <f>SUM('q1q2'!O26)</f>
        <v>0.062346622639671646</v>
      </c>
      <c r="Z15" s="87">
        <f t="shared" si="11"/>
        <v>0.9376533773603284</v>
      </c>
      <c r="AA15" s="27">
        <f>SUM(AA3:AA14)</f>
        <v>19646.93079994228</v>
      </c>
      <c r="AB15" s="87">
        <f t="shared" si="13"/>
        <v>0.8329085953281623</v>
      </c>
      <c r="AC15" s="28">
        <f>SUM(AC3:AC14)</f>
        <v>33247.09999999999</v>
      </c>
      <c r="AD15" s="26">
        <f t="shared" si="14"/>
        <v>1</v>
      </c>
      <c r="AE15" s="26">
        <f t="shared" si="15"/>
        <v>1.200611934621715</v>
      </c>
      <c r="AF15" s="27">
        <f>SUM(AF3:AF14)</f>
        <v>35286.1</v>
      </c>
      <c r="AG15" s="142">
        <v>222198.9</v>
      </c>
      <c r="AH15" s="28">
        <f t="shared" si="1"/>
        <v>7.29706598348925</v>
      </c>
      <c r="AI15" s="27">
        <f>SUM(AI3:AI14)</f>
        <v>222198.9</v>
      </c>
      <c r="AJ15" s="31">
        <f>SUM(AJ3:AJ14)</f>
        <v>222198.9</v>
      </c>
      <c r="AK15" s="142">
        <v>33093.6</v>
      </c>
      <c r="AL15" s="31">
        <f>SUM(AL3:AL14)</f>
        <v>33093.600000000006</v>
      </c>
      <c r="AM15" s="73">
        <f>SUM(AM3:AM14)</f>
        <v>255292.5</v>
      </c>
    </row>
    <row r="16" ht="23.25" customHeight="1"/>
    <row r="17" ht="12.75">
      <c r="AG17" s="74"/>
    </row>
    <row r="18" ht="12.75">
      <c r="AG18" s="74"/>
    </row>
    <row r="19" spans="19:30" ht="12.75">
      <c r="S19" s="160" t="s">
        <v>126</v>
      </c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</row>
    <row r="20" spans="19:30" ht="12.75"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</row>
    <row r="21" spans="19:30" ht="12.75"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</row>
  </sheetData>
  <sheetProtection/>
  <mergeCells count="2">
    <mergeCell ref="A1:AM1"/>
    <mergeCell ref="S19:AD21"/>
  </mergeCells>
  <printOptions/>
  <pageMargins left="0.35433070866141736" right="0.2755905511811024" top="0.7480314960629921" bottom="0.7480314960629921" header="0.31496062992125984" footer="0.31496062992125984"/>
  <pageSetup fitToHeight="2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U19" sqref="U19:AE21"/>
    </sheetView>
  </sheetViews>
  <sheetFormatPr defaultColWidth="9.140625" defaultRowHeight="15"/>
  <cols>
    <col min="1" max="1" width="26.28125" style="78" customWidth="1"/>
    <col min="2" max="3" width="11.7109375" style="78" customWidth="1"/>
    <col min="4" max="4" width="11.421875" style="78" customWidth="1"/>
    <col min="5" max="6" width="13.421875" style="78" customWidth="1"/>
    <col min="7" max="7" width="12.8515625" style="23" customWidth="1"/>
    <col min="8" max="8" width="11.7109375" style="23" customWidth="1"/>
    <col min="9" max="9" width="15.28125" style="23" customWidth="1"/>
    <col min="10" max="11" width="13.57421875" style="23" customWidth="1"/>
    <col min="12" max="12" width="14.8515625" style="23" customWidth="1"/>
    <col min="13" max="14" width="13.57421875" style="23" customWidth="1"/>
    <col min="15" max="16" width="15.28125" style="90" customWidth="1"/>
    <col min="17" max="18" width="14.140625" style="90" customWidth="1"/>
    <col min="19" max="20" width="15.28125" style="90" customWidth="1"/>
    <col min="21" max="32" width="11.7109375" style="23" customWidth="1"/>
    <col min="33" max="34" width="16.28125" style="23" customWidth="1"/>
    <col min="35" max="35" width="18.421875" style="23" customWidth="1"/>
    <col min="36" max="36" width="13.7109375" style="23" customWidth="1"/>
    <col min="37" max="37" width="17.7109375" style="23" customWidth="1"/>
    <col min="38" max="38" width="14.7109375" style="91" customWidth="1"/>
    <col min="39" max="39" width="14.57421875" style="91" customWidth="1"/>
    <col min="40" max="16384" width="9.140625" style="78" customWidth="1"/>
  </cols>
  <sheetData>
    <row r="1" spans="1:39" ht="24.75" customHeight="1">
      <c r="A1" s="159" t="s">
        <v>139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</row>
    <row r="2" spans="1:39" s="79" customFormat="1" ht="233.25" customHeight="1">
      <c r="A2" s="16" t="s">
        <v>0</v>
      </c>
      <c r="B2" s="17" t="s">
        <v>152</v>
      </c>
      <c r="C2" s="17" t="s">
        <v>153</v>
      </c>
      <c r="D2" s="17" t="s">
        <v>15</v>
      </c>
      <c r="E2" s="21" t="s">
        <v>16</v>
      </c>
      <c r="F2" s="8" t="s">
        <v>59</v>
      </c>
      <c r="G2" s="21" t="s">
        <v>17</v>
      </c>
      <c r="H2" s="8" t="s">
        <v>18</v>
      </c>
      <c r="I2" s="8" t="s">
        <v>19</v>
      </c>
      <c r="J2" s="21" t="s">
        <v>20</v>
      </c>
      <c r="K2" s="18" t="s">
        <v>21</v>
      </c>
      <c r="L2" s="18" t="s">
        <v>22</v>
      </c>
      <c r="M2" s="18" t="s">
        <v>23</v>
      </c>
      <c r="N2" s="21" t="s">
        <v>33</v>
      </c>
      <c r="O2" s="9" t="s">
        <v>24</v>
      </c>
      <c r="P2" s="9" t="s">
        <v>131</v>
      </c>
      <c r="Q2" s="9" t="s">
        <v>26</v>
      </c>
      <c r="R2" s="9" t="s">
        <v>132</v>
      </c>
      <c r="S2" s="9" t="s">
        <v>25</v>
      </c>
      <c r="T2" s="9" t="s">
        <v>133</v>
      </c>
      <c r="U2" s="21" t="s">
        <v>27</v>
      </c>
      <c r="V2" s="8" t="s">
        <v>28</v>
      </c>
      <c r="W2" s="21" t="s">
        <v>29</v>
      </c>
      <c r="X2" s="8" t="s">
        <v>30</v>
      </c>
      <c r="Y2" s="8" t="s">
        <v>31</v>
      </c>
      <c r="Z2" s="21" t="s">
        <v>32</v>
      </c>
      <c r="AA2" s="14" t="s">
        <v>34</v>
      </c>
      <c r="AB2" s="20" t="s">
        <v>50</v>
      </c>
      <c r="AC2" s="21" t="s">
        <v>47</v>
      </c>
      <c r="AD2" s="20" t="s">
        <v>48</v>
      </c>
      <c r="AE2" s="21" t="s">
        <v>51</v>
      </c>
      <c r="AF2" s="14" t="s">
        <v>52</v>
      </c>
      <c r="AG2" s="22" t="s">
        <v>49</v>
      </c>
      <c r="AH2" s="21" t="s">
        <v>53</v>
      </c>
      <c r="AI2" s="8" t="s">
        <v>54</v>
      </c>
      <c r="AJ2" s="29" t="s">
        <v>55</v>
      </c>
      <c r="AK2" s="22" t="s">
        <v>56</v>
      </c>
      <c r="AL2" s="32" t="s">
        <v>57</v>
      </c>
      <c r="AM2" s="33" t="s">
        <v>58</v>
      </c>
    </row>
    <row r="3" spans="1:39" s="84" customFormat="1" ht="18">
      <c r="A3" s="19" t="s">
        <v>1</v>
      </c>
      <c r="B3" s="85">
        <v>5064</v>
      </c>
      <c r="C3" s="85">
        <v>5064</v>
      </c>
      <c r="D3" s="85">
        <v>465</v>
      </c>
      <c r="E3" s="26">
        <f>(1+D3/B3)/(1+D$15/B$15)</f>
        <v>0.9353253296677829</v>
      </c>
      <c r="F3" s="80">
        <v>128.4</v>
      </c>
      <c r="G3" s="26">
        <f>(F3/B3)/(F$15/B$15)</f>
        <v>1.1893360963412052</v>
      </c>
      <c r="H3" s="81"/>
      <c r="I3" s="24"/>
      <c r="J3" s="26">
        <f aca="true" t="shared" si="0" ref="J3:J15">SUM(I$15+(1-I$15)*H$15/B3)</f>
        <v>0.8645767509215376</v>
      </c>
      <c r="K3" s="80"/>
      <c r="L3" s="80"/>
      <c r="M3" s="80"/>
      <c r="N3" s="82">
        <f>SUM(K$15*J3+L$15*G3+M$15*E3)</f>
        <v>0.8970807060373374</v>
      </c>
      <c r="O3" s="80">
        <v>95.65</v>
      </c>
      <c r="P3" s="80">
        <f>SUM(O3*B3)</f>
        <v>484371.60000000003</v>
      </c>
      <c r="Q3" s="80">
        <v>2133.1</v>
      </c>
      <c r="R3" s="80">
        <f>SUM(Q3*B3)</f>
        <v>10802018.4</v>
      </c>
      <c r="S3" s="80">
        <v>5.87</v>
      </c>
      <c r="T3" s="80">
        <f>SUM(S3*B3)</f>
        <v>29725.68</v>
      </c>
      <c r="U3" s="26">
        <f>SUM(0.2*O3*B$15/P$15+0.65*Q3*B$15/R$15+0.15*S3*B$15/T$15)</f>
        <v>0.7123267779449699</v>
      </c>
      <c r="V3" s="92">
        <f>SUM(C3/B3)</f>
        <v>1</v>
      </c>
      <c r="W3" s="26">
        <f>SUM((1+0.25*V3)/(1+0.25*V$15))</f>
        <v>1</v>
      </c>
      <c r="X3" s="24"/>
      <c r="Y3" s="24"/>
      <c r="Z3" s="26">
        <f>SUM(X$15*W3+Y$15*U3+1-X$15-Y$15)</f>
        <v>0.9820645461809967</v>
      </c>
      <c r="AA3" s="24">
        <f>SUM(Z3*N3*B3)</f>
        <v>4461.3392163250155</v>
      </c>
      <c r="AB3" s="26">
        <f>SUM(Z3*N3*B$15/AA$15)</f>
        <v>0.8798265147521478</v>
      </c>
      <c r="AC3" s="25">
        <f>SUM(НПn2019!N3)</f>
        <v>16949.06909327316</v>
      </c>
      <c r="AD3" s="26">
        <f>(AC3/B3)/(AC$15/B$15)</f>
        <v>1.9393356916271633</v>
      </c>
      <c r="AE3" s="26">
        <f>SUM(AD3/AB3)</f>
        <v>2.2042251047338413</v>
      </c>
      <c r="AF3" s="24">
        <f>SUM(ПНД!M5)</f>
        <v>12569.4</v>
      </c>
      <c r="AG3" s="35"/>
      <c r="AH3" s="25">
        <f aca="true" t="shared" si="1" ref="AH3:AH15">SUM(AF$15+AG$15)/AF$15</f>
        <v>7.619836952009874</v>
      </c>
      <c r="AI3" s="24">
        <f>SUM(AF$15/B$15)*(AH$15-AE3)*AB3*B3</f>
        <v>44439.01490820096</v>
      </c>
      <c r="AJ3" s="30">
        <f>SUM(AG$15*AI3/AI$15)</f>
        <v>44439.01490820096</v>
      </c>
      <c r="AK3" s="83"/>
      <c r="AL3" s="30">
        <f>SUM(AK$15*B3/B$15)</f>
        <v>8541.154395800419</v>
      </c>
      <c r="AM3" s="94">
        <f>SUM(AL3+AJ3)</f>
        <v>52980.16930400138</v>
      </c>
    </row>
    <row r="4" spans="1:39" s="84" customFormat="1" ht="18">
      <c r="A4" s="19" t="s">
        <v>2</v>
      </c>
      <c r="B4" s="85">
        <v>1985</v>
      </c>
      <c r="C4" s="85">
        <v>1985</v>
      </c>
      <c r="D4" s="85">
        <v>0</v>
      </c>
      <c r="E4" s="26">
        <f aca="true" t="shared" si="2" ref="E4:E15">(1+D4/B4)/(1+D$15/B$15)</f>
        <v>0.8566625916870416</v>
      </c>
      <c r="F4" s="80">
        <v>27.7</v>
      </c>
      <c r="G4" s="26">
        <f aca="true" t="shared" si="3" ref="G4:G15">(F4/B4)/(F$15/B$15)</f>
        <v>0.6545646255594945</v>
      </c>
      <c r="H4" s="81"/>
      <c r="I4" s="24"/>
      <c r="J4" s="26">
        <f t="shared" si="0"/>
        <v>0.9647439126784215</v>
      </c>
      <c r="K4" s="80"/>
      <c r="L4" s="80"/>
      <c r="M4" s="80"/>
      <c r="N4" s="82">
        <f aca="true" t="shared" si="4" ref="N4:N14">SUM(K$15*J4+L$15*G4+M$15*E4)</f>
        <v>0.9183174401524465</v>
      </c>
      <c r="O4" s="80">
        <v>130.07</v>
      </c>
      <c r="P4" s="80">
        <f aca="true" t="shared" si="5" ref="P4:P14">SUM(O4*B4)</f>
        <v>258188.94999999998</v>
      </c>
      <c r="Q4" s="80">
        <v>0</v>
      </c>
      <c r="R4" s="80">
        <f aca="true" t="shared" si="6" ref="R4:R14">SUM(Q4*B4)</f>
        <v>0</v>
      </c>
      <c r="S4" s="80">
        <v>5.87</v>
      </c>
      <c r="T4" s="80">
        <f aca="true" t="shared" si="7" ref="T4:T14">SUM(S4*B4)</f>
        <v>11651.95</v>
      </c>
      <c r="U4" s="26">
        <f aca="true" t="shared" si="8" ref="U4:U14">SUM(0.2*O4*B$15/P$15+0.65*Q4*B$15/R$15+0.15*S4*B$15/T$15)</f>
        <v>0.30234958820950497</v>
      </c>
      <c r="V4" s="92">
        <f aca="true" t="shared" si="9" ref="V4:V15">SUM(C4/B4)</f>
        <v>1</v>
      </c>
      <c r="W4" s="26">
        <f aca="true" t="shared" si="10" ref="W4:W15">SUM((1+0.25*V4)/(1+0.25*V$15))</f>
        <v>1</v>
      </c>
      <c r="X4" s="24"/>
      <c r="Y4" s="24"/>
      <c r="Z4" s="26">
        <f aca="true" t="shared" si="11" ref="Z4:Z15">SUM(X$15*W4+Y$15*U4+1-X$15-Y$15)</f>
        <v>0.9565038530416865</v>
      </c>
      <c r="AA4" s="24">
        <f aca="true" t="shared" si="12" ref="AA4:AA14">SUM(Z4*N4*B4)</f>
        <v>1743.572727095069</v>
      </c>
      <c r="AB4" s="26">
        <f aca="true" t="shared" si="13" ref="AB4:AB15">SUM(Z4*N4*B$15/AA$15)</f>
        <v>0.8772129876824424</v>
      </c>
      <c r="AC4" s="25">
        <f>SUM(НПn2019!N4)</f>
        <v>2479.1448587490927</v>
      </c>
      <c r="AD4" s="26">
        <f aca="true" t="shared" si="14" ref="AD4:AD15">(AC4/B4)/(AC$15/B$15)</f>
        <v>0.7236727672303689</v>
      </c>
      <c r="AE4" s="26">
        <f aca="true" t="shared" si="15" ref="AE4:AE15">SUM(AD4/AB4)</f>
        <v>0.8249681404538709</v>
      </c>
      <c r="AF4" s="24">
        <f>SUM(ПНД!M6)</f>
        <v>3992.8</v>
      </c>
      <c r="AG4" s="35"/>
      <c r="AH4" s="25">
        <f t="shared" si="1"/>
        <v>7.619836952009874</v>
      </c>
      <c r="AI4" s="24">
        <f aca="true" t="shared" si="16" ref="AI4:AI14">SUM(AF$15/B$15)*(AH$15-AE4)*AB4*B4</f>
        <v>21790.78075390953</v>
      </c>
      <c r="AJ4" s="30">
        <f aca="true" t="shared" si="17" ref="AJ4:AJ14">SUM(AG$15*AI4/AI$15)</f>
        <v>21790.78075390953</v>
      </c>
      <c r="AK4" s="83"/>
      <c r="AL4" s="30">
        <f aca="true" t="shared" si="18" ref="AL4:AL14">SUM(AK$15*B4/B$15)</f>
        <v>3347.9840986697927</v>
      </c>
      <c r="AM4" s="94">
        <f aca="true" t="shared" si="19" ref="AM4:AM14">SUM(AL4+AJ4)</f>
        <v>25138.764852579323</v>
      </c>
    </row>
    <row r="5" spans="1:39" s="84" customFormat="1" ht="18">
      <c r="A5" s="19" t="s">
        <v>3</v>
      </c>
      <c r="B5" s="85">
        <v>1550</v>
      </c>
      <c r="C5" s="85">
        <v>1550</v>
      </c>
      <c r="D5" s="85">
        <v>91</v>
      </c>
      <c r="E5" s="26">
        <f t="shared" si="2"/>
        <v>0.9069569761022163</v>
      </c>
      <c r="F5" s="80">
        <v>31.4</v>
      </c>
      <c r="G5" s="26">
        <f t="shared" si="3"/>
        <v>0.9502354383719047</v>
      </c>
      <c r="H5" s="81"/>
      <c r="I5" s="24"/>
      <c r="J5" s="26">
        <f t="shared" si="0"/>
        <v>1.010978494623656</v>
      </c>
      <c r="K5" s="80"/>
      <c r="L5" s="80"/>
      <c r="M5" s="80"/>
      <c r="N5" s="82">
        <f t="shared" si="4"/>
        <v>0.9704253282420493</v>
      </c>
      <c r="O5" s="80">
        <v>371.15</v>
      </c>
      <c r="P5" s="80">
        <f t="shared" si="5"/>
        <v>575282.5</v>
      </c>
      <c r="Q5" s="80">
        <v>3057.3</v>
      </c>
      <c r="R5" s="80">
        <f t="shared" si="6"/>
        <v>4738815</v>
      </c>
      <c r="S5" s="80">
        <v>5.87</v>
      </c>
      <c r="T5" s="80">
        <f t="shared" si="7"/>
        <v>9098.5</v>
      </c>
      <c r="U5" s="26">
        <f t="shared" si="8"/>
        <v>1.231750663833437</v>
      </c>
      <c r="V5" s="92">
        <f t="shared" si="9"/>
        <v>1</v>
      </c>
      <c r="W5" s="26">
        <f t="shared" si="10"/>
        <v>1</v>
      </c>
      <c r="X5" s="24"/>
      <c r="Y5" s="24"/>
      <c r="Z5" s="26">
        <f t="shared" si="11"/>
        <v>1.0144488711845168</v>
      </c>
      <c r="AA5" s="24">
        <f t="shared" si="12"/>
        <v>1525.8926621462172</v>
      </c>
      <c r="AB5" s="26">
        <f t="shared" si="13"/>
        <v>0.9831454719873135</v>
      </c>
      <c r="AC5" s="25">
        <f>SUM(НПn2019!N5)</f>
        <v>3265.818916260023</v>
      </c>
      <c r="AD5" s="26">
        <f t="shared" si="14"/>
        <v>1.2208469969807383</v>
      </c>
      <c r="AE5" s="26">
        <f t="shared" si="15"/>
        <v>1.241776554707554</v>
      </c>
      <c r="AF5" s="24">
        <f>SUM(ПНД!M7)</f>
        <v>4905.5</v>
      </c>
      <c r="AG5" s="35"/>
      <c r="AH5" s="25">
        <f t="shared" si="1"/>
        <v>7.619836952009874</v>
      </c>
      <c r="AI5" s="24">
        <f t="shared" si="16"/>
        <v>17900.46281353435</v>
      </c>
      <c r="AJ5" s="30">
        <f t="shared" si="17"/>
        <v>17900.46281353435</v>
      </c>
      <c r="AK5" s="83"/>
      <c r="AL5" s="30">
        <f t="shared" si="18"/>
        <v>2614.294888130065</v>
      </c>
      <c r="AM5" s="94">
        <f t="shared" si="19"/>
        <v>20514.757701664414</v>
      </c>
    </row>
    <row r="6" spans="1:39" s="84" customFormat="1" ht="18">
      <c r="A6" s="19" t="s">
        <v>4</v>
      </c>
      <c r="B6" s="85">
        <v>736</v>
      </c>
      <c r="C6" s="85">
        <v>736</v>
      </c>
      <c r="D6" s="85">
        <v>44</v>
      </c>
      <c r="E6" s="26">
        <f t="shared" si="2"/>
        <v>0.9078761161900712</v>
      </c>
      <c r="F6" s="80">
        <v>19.4</v>
      </c>
      <c r="G6" s="26">
        <f t="shared" si="3"/>
        <v>1.2363948539117962</v>
      </c>
      <c r="H6" s="81"/>
      <c r="I6" s="24"/>
      <c r="J6" s="26">
        <f t="shared" si="0"/>
        <v>1.2443161231884057</v>
      </c>
      <c r="K6" s="80"/>
      <c r="L6" s="80"/>
      <c r="M6" s="80"/>
      <c r="N6" s="82">
        <f t="shared" si="4"/>
        <v>1.1164280126930213</v>
      </c>
      <c r="O6" s="80">
        <v>371.15</v>
      </c>
      <c r="P6" s="80">
        <f t="shared" si="5"/>
        <v>273166.39999999997</v>
      </c>
      <c r="Q6" s="80">
        <v>3823.93</v>
      </c>
      <c r="R6" s="80">
        <f t="shared" si="6"/>
        <v>2814412.48</v>
      </c>
      <c r="S6" s="80">
        <v>5.87</v>
      </c>
      <c r="T6" s="80">
        <f t="shared" si="7"/>
        <v>4320.32</v>
      </c>
      <c r="U6" s="26">
        <f t="shared" si="8"/>
        <v>1.3936543894445492</v>
      </c>
      <c r="V6" s="92">
        <f t="shared" si="9"/>
        <v>1</v>
      </c>
      <c r="W6" s="26">
        <f t="shared" si="10"/>
        <v>1</v>
      </c>
      <c r="X6" s="24"/>
      <c r="Y6" s="24"/>
      <c r="Z6" s="26">
        <f t="shared" si="11"/>
        <v>1.0245430216691496</v>
      </c>
      <c r="AA6" s="24">
        <f t="shared" si="12"/>
        <v>841.8577977860355</v>
      </c>
      <c r="AB6" s="26">
        <f t="shared" si="13"/>
        <v>1.1423164254153828</v>
      </c>
      <c r="AC6" s="25">
        <f>SUM(НПn2019!N6)</f>
        <v>552.6671576993822</v>
      </c>
      <c r="AD6" s="26">
        <f t="shared" si="14"/>
        <v>0.43509759248707097</v>
      </c>
      <c r="AE6" s="26">
        <f t="shared" si="15"/>
        <v>0.38089060334473923</v>
      </c>
      <c r="AF6" s="24">
        <f>SUM(ПНД!M13)</f>
        <v>941.9</v>
      </c>
      <c r="AG6" s="35"/>
      <c r="AH6" s="25">
        <f t="shared" si="1"/>
        <v>7.619836952009874</v>
      </c>
      <c r="AI6" s="24">
        <f t="shared" si="16"/>
        <v>11208.97097301127</v>
      </c>
      <c r="AJ6" s="30">
        <f t="shared" si="17"/>
        <v>11208.97097301127</v>
      </c>
      <c r="AK6" s="83"/>
      <c r="AL6" s="30">
        <f t="shared" si="18"/>
        <v>1241.3684113959532</v>
      </c>
      <c r="AM6" s="94">
        <f t="shared" si="19"/>
        <v>12450.339384407223</v>
      </c>
    </row>
    <row r="7" spans="1:39" s="84" customFormat="1" ht="18">
      <c r="A7" s="19" t="s">
        <v>81</v>
      </c>
      <c r="B7" s="85">
        <v>881</v>
      </c>
      <c r="C7" s="85">
        <v>881</v>
      </c>
      <c r="D7" s="85">
        <v>352</v>
      </c>
      <c r="E7" s="26">
        <f t="shared" si="2"/>
        <v>1.1989386782634759</v>
      </c>
      <c r="F7" s="80">
        <v>23.2</v>
      </c>
      <c r="G7" s="26">
        <f t="shared" si="3"/>
        <v>1.235222943089197</v>
      </c>
      <c r="H7" s="81"/>
      <c r="I7" s="24"/>
      <c r="J7" s="26">
        <f t="shared" si="0"/>
        <v>1.1711880438895195</v>
      </c>
      <c r="K7" s="80"/>
      <c r="L7" s="80"/>
      <c r="M7" s="80"/>
      <c r="N7" s="82">
        <f t="shared" si="4"/>
        <v>1.1828373524131435</v>
      </c>
      <c r="O7" s="80">
        <v>237.91</v>
      </c>
      <c r="P7" s="80">
        <f t="shared" si="5"/>
        <v>209598.71</v>
      </c>
      <c r="Q7" s="80">
        <v>4828.46</v>
      </c>
      <c r="R7" s="80">
        <f t="shared" si="6"/>
        <v>4253873.26</v>
      </c>
      <c r="S7" s="80">
        <v>5.87</v>
      </c>
      <c r="T7" s="80">
        <f t="shared" si="7"/>
        <v>5171.47</v>
      </c>
      <c r="U7" s="26">
        <f t="shared" si="8"/>
        <v>1.4489863196543669</v>
      </c>
      <c r="V7" s="92">
        <f t="shared" si="9"/>
        <v>1</v>
      </c>
      <c r="W7" s="26">
        <f t="shared" si="10"/>
        <v>1</v>
      </c>
      <c r="X7" s="24"/>
      <c r="Y7" s="24"/>
      <c r="Z7" s="26">
        <f t="shared" si="11"/>
        <v>1.0279927806418658</v>
      </c>
      <c r="AA7" s="24">
        <f t="shared" si="12"/>
        <v>1071.2504161386942</v>
      </c>
      <c r="AB7" s="26">
        <f t="shared" si="13"/>
        <v>1.2143408148279837</v>
      </c>
      <c r="AC7" s="25">
        <f>SUM(НПn2019!N7)</f>
        <v>1290.3866395227014</v>
      </c>
      <c r="AD7" s="26">
        <f t="shared" si="14"/>
        <v>0.8486816002060128</v>
      </c>
      <c r="AE7" s="26">
        <f t="shared" si="15"/>
        <v>0.6988825458577969</v>
      </c>
      <c r="AF7" s="24">
        <f>SUM(ПНД!M9)</f>
        <v>1220.8</v>
      </c>
      <c r="AG7" s="35"/>
      <c r="AH7" s="25">
        <f t="shared" si="1"/>
        <v>7.619836952009874</v>
      </c>
      <c r="AI7" s="24">
        <f t="shared" si="16"/>
        <v>13636.67968982994</v>
      </c>
      <c r="AJ7" s="30">
        <f t="shared" si="17"/>
        <v>13636.67968982994</v>
      </c>
      <c r="AK7" s="83"/>
      <c r="AL7" s="30">
        <f t="shared" si="18"/>
        <v>1485.9314815758626</v>
      </c>
      <c r="AM7" s="94">
        <f t="shared" si="19"/>
        <v>15122.611171405802</v>
      </c>
    </row>
    <row r="8" spans="1:39" s="84" customFormat="1" ht="18">
      <c r="A8" s="19" t="s">
        <v>6</v>
      </c>
      <c r="B8" s="85">
        <v>1945</v>
      </c>
      <c r="C8" s="85">
        <v>1945</v>
      </c>
      <c r="D8" s="85">
        <v>296</v>
      </c>
      <c r="E8" s="26">
        <f t="shared" si="2"/>
        <v>0.9870338652805452</v>
      </c>
      <c r="F8" s="80">
        <v>30.8</v>
      </c>
      <c r="G8" s="26">
        <f t="shared" si="3"/>
        <v>0.7427871535355186</v>
      </c>
      <c r="H8" s="81"/>
      <c r="I8" s="24"/>
      <c r="J8" s="26">
        <f t="shared" si="0"/>
        <v>0.9681319622964868</v>
      </c>
      <c r="K8" s="80"/>
      <c r="L8" s="80"/>
      <c r="M8" s="80"/>
      <c r="N8" s="82">
        <f t="shared" si="4"/>
        <v>0.9713958829742839</v>
      </c>
      <c r="O8" s="80">
        <v>130.07</v>
      </c>
      <c r="P8" s="80">
        <f t="shared" si="5"/>
        <v>252986.15</v>
      </c>
      <c r="Q8" s="80">
        <v>3758.03</v>
      </c>
      <c r="R8" s="80">
        <f t="shared" si="6"/>
        <v>7309368.350000001</v>
      </c>
      <c r="S8" s="80">
        <v>5.87</v>
      </c>
      <c r="T8" s="80">
        <f t="shared" si="7"/>
        <v>11417.15</v>
      </c>
      <c r="U8" s="26">
        <f t="shared" si="8"/>
        <v>1.0960037081347993</v>
      </c>
      <c r="V8" s="92">
        <f t="shared" si="9"/>
        <v>1</v>
      </c>
      <c r="W8" s="26">
        <f t="shared" si="10"/>
        <v>1</v>
      </c>
      <c r="X8" s="24"/>
      <c r="Y8" s="24"/>
      <c r="Z8" s="26">
        <f t="shared" si="11"/>
        <v>1.0059855069630896</v>
      </c>
      <c r="AA8" s="24">
        <f t="shared" si="12"/>
        <v>1900.6737997027203</v>
      </c>
      <c r="AB8" s="26">
        <f t="shared" si="13"/>
        <v>0.9759183396602169</v>
      </c>
      <c r="AC8" s="25">
        <f>SUM(НПn2019!N8)</f>
        <v>1320.3750479012956</v>
      </c>
      <c r="AD8" s="26">
        <f t="shared" si="14"/>
        <v>0.39334944352346696</v>
      </c>
      <c r="AE8" s="26">
        <f t="shared" si="15"/>
        <v>0.4030556938405507</v>
      </c>
      <c r="AF8" s="24">
        <f>SUM(ПНД!M14)</f>
        <v>1742.7</v>
      </c>
      <c r="AG8" s="35"/>
      <c r="AH8" s="25">
        <f t="shared" si="1"/>
        <v>7.619836952009874</v>
      </c>
      <c r="AI8" s="24">
        <f t="shared" si="16"/>
        <v>25229.159231039237</v>
      </c>
      <c r="AJ8" s="30">
        <f t="shared" si="17"/>
        <v>25229.159231039237</v>
      </c>
      <c r="AK8" s="83"/>
      <c r="AL8" s="30">
        <f t="shared" si="18"/>
        <v>3280.5184241374036</v>
      </c>
      <c r="AM8" s="94">
        <f t="shared" si="19"/>
        <v>28509.67765517664</v>
      </c>
    </row>
    <row r="9" spans="1:39" s="84" customFormat="1" ht="18">
      <c r="A9" s="19" t="s">
        <v>14</v>
      </c>
      <c r="B9" s="85">
        <v>3194</v>
      </c>
      <c r="C9" s="85">
        <v>3194</v>
      </c>
      <c r="D9" s="85">
        <v>879</v>
      </c>
      <c r="E9" s="26">
        <f t="shared" si="2"/>
        <v>1.0924191408707953</v>
      </c>
      <c r="F9" s="80">
        <v>70.8</v>
      </c>
      <c r="G9" s="26">
        <f t="shared" si="3"/>
        <v>1.0397564402894444</v>
      </c>
      <c r="H9" s="81"/>
      <c r="I9" s="24"/>
      <c r="J9" s="26">
        <f t="shared" si="0"/>
        <v>0.9023846796075976</v>
      </c>
      <c r="K9" s="80"/>
      <c r="L9" s="80"/>
      <c r="M9" s="80"/>
      <c r="N9" s="82">
        <f t="shared" si="4"/>
        <v>0.9769287997488315</v>
      </c>
      <c r="O9" s="80">
        <v>237.91</v>
      </c>
      <c r="P9" s="80">
        <f t="shared" si="5"/>
        <v>759884.54</v>
      </c>
      <c r="Q9" s="80">
        <v>3489.47</v>
      </c>
      <c r="R9" s="80">
        <f t="shared" si="6"/>
        <v>11145367.18</v>
      </c>
      <c r="S9" s="80">
        <v>5.87</v>
      </c>
      <c r="T9" s="80">
        <f t="shared" si="7"/>
        <v>18748.78</v>
      </c>
      <c r="U9" s="26">
        <f t="shared" si="8"/>
        <v>1.1662065307653025</v>
      </c>
      <c r="V9" s="92">
        <f t="shared" si="9"/>
        <v>1</v>
      </c>
      <c r="W9" s="26">
        <f t="shared" si="10"/>
        <v>1</v>
      </c>
      <c r="X9" s="24"/>
      <c r="Y9" s="24"/>
      <c r="Z9" s="26">
        <f t="shared" si="11"/>
        <v>1.0103624158538733</v>
      </c>
      <c r="AA9" s="24">
        <f t="shared" si="12"/>
        <v>3152.644542287265</v>
      </c>
      <c r="AB9" s="26">
        <f t="shared" si="13"/>
        <v>0.9857472913410776</v>
      </c>
      <c r="AC9" s="25">
        <f>SUM(НПn2019!N9)</f>
        <v>3276.609919534515</v>
      </c>
      <c r="AD9" s="26">
        <f t="shared" si="14"/>
        <v>0.5944162411816295</v>
      </c>
      <c r="AE9" s="26">
        <f t="shared" si="15"/>
        <v>0.6030107781203692</v>
      </c>
      <c r="AF9" s="24">
        <f>SUM(ПНД!M12)</f>
        <v>4258</v>
      </c>
      <c r="AG9" s="35"/>
      <c r="AH9" s="25">
        <f t="shared" si="1"/>
        <v>7.619836952009874</v>
      </c>
      <c r="AI9" s="24">
        <f t="shared" si="16"/>
        <v>40688.09650429875</v>
      </c>
      <c r="AJ9" s="30">
        <f t="shared" si="17"/>
        <v>40688.09650429875</v>
      </c>
      <c r="AK9" s="83"/>
      <c r="AL9" s="30">
        <f t="shared" si="18"/>
        <v>5387.134111411243</v>
      </c>
      <c r="AM9" s="94">
        <f t="shared" si="19"/>
        <v>46075.230615709996</v>
      </c>
    </row>
    <row r="10" spans="1:39" s="84" customFormat="1" ht="18">
      <c r="A10" s="19" t="s">
        <v>7</v>
      </c>
      <c r="B10" s="85">
        <v>892</v>
      </c>
      <c r="C10" s="85">
        <v>892</v>
      </c>
      <c r="D10" s="85">
        <v>260</v>
      </c>
      <c r="E10" s="26">
        <f t="shared" si="2"/>
        <v>1.106362450250529</v>
      </c>
      <c r="F10" s="80">
        <v>16.8</v>
      </c>
      <c r="G10" s="26">
        <f t="shared" si="3"/>
        <v>0.883441304704393</v>
      </c>
      <c r="H10" s="81"/>
      <c r="I10" s="24"/>
      <c r="J10" s="26">
        <f t="shared" si="0"/>
        <v>1.1666106128550076</v>
      </c>
      <c r="K10" s="80"/>
      <c r="L10" s="80"/>
      <c r="M10" s="80"/>
      <c r="N10" s="82">
        <f t="shared" si="4"/>
        <v>1.138816058175423</v>
      </c>
      <c r="O10" s="80">
        <v>130.07</v>
      </c>
      <c r="P10" s="80">
        <f t="shared" si="5"/>
        <v>116022.43999999999</v>
      </c>
      <c r="Q10" s="80">
        <v>4176.46</v>
      </c>
      <c r="R10" s="80">
        <f t="shared" si="6"/>
        <v>3725402.32</v>
      </c>
      <c r="S10" s="80">
        <v>5.87</v>
      </c>
      <c r="T10" s="80">
        <f t="shared" si="7"/>
        <v>5236.04</v>
      </c>
      <c r="U10" s="26">
        <f t="shared" si="8"/>
        <v>1.1843714682113131</v>
      </c>
      <c r="V10" s="92">
        <f t="shared" si="9"/>
        <v>1</v>
      </c>
      <c r="W10" s="26">
        <f t="shared" si="10"/>
        <v>1</v>
      </c>
      <c r="X10" s="24"/>
      <c r="Y10" s="24"/>
      <c r="Z10" s="26">
        <f t="shared" si="11"/>
        <v>1.011494938354093</v>
      </c>
      <c r="AA10" s="24">
        <f t="shared" si="12"/>
        <v>1027.500757276234</v>
      </c>
      <c r="AB10" s="26">
        <f t="shared" si="13"/>
        <v>1.1503838953248988</v>
      </c>
      <c r="AC10" s="25">
        <f>SUM(НПn2019!N10)</f>
        <v>554.8252546300303</v>
      </c>
      <c r="AD10" s="26">
        <f t="shared" si="14"/>
        <v>0.3604061589376203</v>
      </c>
      <c r="AE10" s="26">
        <f t="shared" si="15"/>
        <v>0.3132920761515286</v>
      </c>
      <c r="AF10" s="24">
        <f>SUM(ПНД!M10)</f>
        <v>829.8</v>
      </c>
      <c r="AG10" s="35"/>
      <c r="AH10" s="25">
        <f t="shared" si="1"/>
        <v>7.619836952009874</v>
      </c>
      <c r="AI10" s="24">
        <f t="shared" si="16"/>
        <v>13808.479334914486</v>
      </c>
      <c r="AJ10" s="30">
        <f t="shared" si="17"/>
        <v>13808.479334914486</v>
      </c>
      <c r="AK10" s="83"/>
      <c r="AL10" s="30">
        <f t="shared" si="18"/>
        <v>1504.4845420722695</v>
      </c>
      <c r="AM10" s="94">
        <f t="shared" si="19"/>
        <v>15312.963876986756</v>
      </c>
    </row>
    <row r="11" spans="1:39" s="84" customFormat="1" ht="18">
      <c r="A11" s="19" t="s">
        <v>80</v>
      </c>
      <c r="B11" s="85">
        <v>1011</v>
      </c>
      <c r="C11" s="85">
        <v>1011</v>
      </c>
      <c r="D11" s="85">
        <v>328</v>
      </c>
      <c r="E11" s="26">
        <f t="shared" si="2"/>
        <v>1.1345907124321946</v>
      </c>
      <c r="F11" s="80">
        <v>17.9</v>
      </c>
      <c r="G11" s="26">
        <f t="shared" si="3"/>
        <v>0.8304914172645012</v>
      </c>
      <c r="H11" s="81"/>
      <c r="I11" s="24"/>
      <c r="J11" s="26">
        <f t="shared" si="0"/>
        <v>1.1234586218265743</v>
      </c>
      <c r="K11" s="80"/>
      <c r="L11" s="80"/>
      <c r="M11" s="80"/>
      <c r="N11" s="82">
        <f t="shared" si="4"/>
        <v>1.1225979051390975</v>
      </c>
      <c r="O11" s="80">
        <v>130.07</v>
      </c>
      <c r="P11" s="80">
        <f t="shared" si="5"/>
        <v>131500.77</v>
      </c>
      <c r="Q11" s="80">
        <v>5343.42</v>
      </c>
      <c r="R11" s="80">
        <f t="shared" si="6"/>
        <v>5402197.62</v>
      </c>
      <c r="S11" s="80">
        <v>5.87</v>
      </c>
      <c r="T11" s="80">
        <f t="shared" si="7"/>
        <v>5934.57</v>
      </c>
      <c r="U11" s="26">
        <f t="shared" si="8"/>
        <v>1.4308204352999263</v>
      </c>
      <c r="V11" s="92">
        <f t="shared" si="9"/>
        <v>1</v>
      </c>
      <c r="W11" s="26">
        <f t="shared" si="10"/>
        <v>1</v>
      </c>
      <c r="X11" s="24"/>
      <c r="Y11" s="24"/>
      <c r="Z11" s="26">
        <f t="shared" si="11"/>
        <v>1.0268601991051036</v>
      </c>
      <c r="AA11" s="24">
        <f t="shared" si="12"/>
        <v>1165.4313705783532</v>
      </c>
      <c r="AB11" s="26">
        <f t="shared" si="13"/>
        <v>1.151227208841387</v>
      </c>
      <c r="AC11" s="25">
        <f>SUM(НПn2019!N11)</f>
        <v>967.1216499350545</v>
      </c>
      <c r="AD11" s="26">
        <f t="shared" si="14"/>
        <v>0.5542820150135586</v>
      </c>
      <c r="AE11" s="26">
        <f t="shared" si="15"/>
        <v>0.4814705652860625</v>
      </c>
      <c r="AF11" s="24">
        <f>SUM(ПНД!M15)</f>
        <v>931.6</v>
      </c>
      <c r="AG11" s="35"/>
      <c r="AH11" s="25">
        <f t="shared" si="1"/>
        <v>7.619836952009874</v>
      </c>
      <c r="AI11" s="24">
        <f t="shared" si="16"/>
        <v>15301.612044935315</v>
      </c>
      <c r="AJ11" s="30">
        <f t="shared" si="17"/>
        <v>15301.612044935315</v>
      </c>
      <c r="AK11" s="83"/>
      <c r="AL11" s="30">
        <f t="shared" si="18"/>
        <v>1705.1949238061259</v>
      </c>
      <c r="AM11" s="94">
        <f t="shared" si="19"/>
        <v>17006.80696874144</v>
      </c>
    </row>
    <row r="12" spans="1:39" s="84" customFormat="1" ht="18">
      <c r="A12" s="19" t="s">
        <v>9</v>
      </c>
      <c r="B12" s="85">
        <v>1267</v>
      </c>
      <c r="C12" s="85">
        <v>1267</v>
      </c>
      <c r="D12" s="85">
        <v>306</v>
      </c>
      <c r="E12" s="26">
        <f t="shared" si="2"/>
        <v>1.0635597922049853</v>
      </c>
      <c r="F12" s="80">
        <v>31.5</v>
      </c>
      <c r="G12" s="26">
        <f t="shared" si="3"/>
        <v>1.166184358419966</v>
      </c>
      <c r="H12" s="81"/>
      <c r="I12" s="24"/>
      <c r="J12" s="26">
        <f t="shared" si="0"/>
        <v>1.0581031307550646</v>
      </c>
      <c r="K12" s="80"/>
      <c r="L12" s="80"/>
      <c r="M12" s="80"/>
      <c r="N12" s="82">
        <f t="shared" si="4"/>
        <v>1.0620520495289487</v>
      </c>
      <c r="O12" s="80">
        <v>130.07</v>
      </c>
      <c r="P12" s="80">
        <f t="shared" si="5"/>
        <v>164798.69</v>
      </c>
      <c r="Q12" s="80">
        <v>4176.46</v>
      </c>
      <c r="R12" s="80">
        <f t="shared" si="6"/>
        <v>5291574.82</v>
      </c>
      <c r="S12" s="80">
        <v>6.24</v>
      </c>
      <c r="T12" s="80">
        <f t="shared" si="7"/>
        <v>7906.08</v>
      </c>
      <c r="U12" s="26">
        <f t="shared" si="8"/>
        <v>1.1937801090559577</v>
      </c>
      <c r="V12" s="92">
        <f t="shared" si="9"/>
        <v>1</v>
      </c>
      <c r="W12" s="26">
        <f t="shared" si="10"/>
        <v>1</v>
      </c>
      <c r="X12" s="24"/>
      <c r="Y12" s="24"/>
      <c r="Z12" s="26">
        <f t="shared" si="11"/>
        <v>1.0120815353343864</v>
      </c>
      <c r="AA12" s="24">
        <f t="shared" si="12"/>
        <v>1361.8771016865317</v>
      </c>
      <c r="AB12" s="26">
        <f t="shared" si="13"/>
        <v>1.073462308103639</v>
      </c>
      <c r="AC12" s="25">
        <f>SUM(НПn2019!N12)</f>
        <v>2287.8387602457797</v>
      </c>
      <c r="AD12" s="26">
        <f t="shared" si="14"/>
        <v>1.046284124696074</v>
      </c>
      <c r="AE12" s="26">
        <f t="shared" si="15"/>
        <v>0.9746817534231104</v>
      </c>
      <c r="AF12" s="24">
        <f>SUM(ПНД!M11)</f>
        <v>3117.2999999999997</v>
      </c>
      <c r="AG12" s="35"/>
      <c r="AH12" s="25">
        <f t="shared" si="1"/>
        <v>7.619836952009874</v>
      </c>
      <c r="AI12" s="24">
        <f t="shared" si="16"/>
        <v>16645.41755029495</v>
      </c>
      <c r="AJ12" s="30">
        <f t="shared" si="17"/>
        <v>16645.41755029495</v>
      </c>
      <c r="AK12" s="83"/>
      <c r="AL12" s="30">
        <f t="shared" si="18"/>
        <v>2136.975240813414</v>
      </c>
      <c r="AM12" s="94">
        <f t="shared" si="19"/>
        <v>18782.392791108367</v>
      </c>
    </row>
    <row r="13" spans="1:39" s="84" customFormat="1" ht="18">
      <c r="A13" s="19" t="s">
        <v>10</v>
      </c>
      <c r="B13" s="85">
        <v>834</v>
      </c>
      <c r="C13" s="85">
        <v>834</v>
      </c>
      <c r="D13" s="85">
        <v>0</v>
      </c>
      <c r="E13" s="26">
        <f t="shared" si="2"/>
        <v>0.8566625916870416</v>
      </c>
      <c r="F13" s="80">
        <v>14.2</v>
      </c>
      <c r="G13" s="26">
        <f t="shared" si="3"/>
        <v>0.7986482915030634</v>
      </c>
      <c r="H13" s="81"/>
      <c r="I13" s="24"/>
      <c r="J13" s="26">
        <f t="shared" si="0"/>
        <v>1.1921063149480415</v>
      </c>
      <c r="K13" s="80"/>
      <c r="L13" s="80"/>
      <c r="M13" s="80"/>
      <c r="N13" s="82">
        <f t="shared" si="4"/>
        <v>1.0579012161406713</v>
      </c>
      <c r="O13" s="80">
        <v>130.07</v>
      </c>
      <c r="P13" s="80">
        <f t="shared" si="5"/>
        <v>108478.37999999999</v>
      </c>
      <c r="Q13" s="80">
        <v>4828.46</v>
      </c>
      <c r="R13" s="80">
        <f t="shared" si="6"/>
        <v>4026935.64</v>
      </c>
      <c r="S13" s="80">
        <v>5.87</v>
      </c>
      <c r="T13" s="80">
        <f t="shared" si="7"/>
        <v>4895.58</v>
      </c>
      <c r="U13" s="26">
        <f t="shared" si="8"/>
        <v>1.322066613324921</v>
      </c>
      <c r="V13" s="92">
        <f t="shared" si="9"/>
        <v>1</v>
      </c>
      <c r="W13" s="26">
        <f t="shared" si="10"/>
        <v>1</v>
      </c>
      <c r="X13" s="24"/>
      <c r="Y13" s="24"/>
      <c r="Z13" s="26">
        <f t="shared" si="11"/>
        <v>1.0200797656058058</v>
      </c>
      <c r="AA13" s="24">
        <f t="shared" si="12"/>
        <v>900.005782912124</v>
      </c>
      <c r="AB13" s="26">
        <f t="shared" si="13"/>
        <v>1.0777170317542824</v>
      </c>
      <c r="AC13" s="25">
        <f>SUM(НПn2019!N13)</f>
        <v>626.2939982232965</v>
      </c>
      <c r="AD13" s="26">
        <f t="shared" si="14"/>
        <v>0.43512399824717324</v>
      </c>
      <c r="AE13" s="26">
        <f t="shared" si="15"/>
        <v>0.4037460533948217</v>
      </c>
      <c r="AF13" s="24">
        <f>SUM(ПНД!M8)</f>
        <v>1176.6</v>
      </c>
      <c r="AG13" s="35"/>
      <c r="AH13" s="25">
        <f t="shared" si="1"/>
        <v>7.619836952009874</v>
      </c>
      <c r="AI13" s="24">
        <f t="shared" si="16"/>
        <v>11945.351753256058</v>
      </c>
      <c r="AJ13" s="30">
        <f t="shared" si="17"/>
        <v>11945.351753256058</v>
      </c>
      <c r="AK13" s="83"/>
      <c r="AL13" s="30">
        <f t="shared" si="18"/>
        <v>1406.6593140003058</v>
      </c>
      <c r="AM13" s="94">
        <f t="shared" si="19"/>
        <v>13352.011067256364</v>
      </c>
    </row>
    <row r="14" spans="1:39" s="84" customFormat="1" ht="18">
      <c r="A14" s="19" t="s">
        <v>11</v>
      </c>
      <c r="B14" s="85">
        <v>262</v>
      </c>
      <c r="C14" s="85">
        <v>262</v>
      </c>
      <c r="D14" s="85">
        <v>262</v>
      </c>
      <c r="E14" s="26">
        <f t="shared" si="2"/>
        <v>1.7133251833740832</v>
      </c>
      <c r="F14" s="80">
        <v>6.2</v>
      </c>
      <c r="G14" s="26">
        <f t="shared" si="3"/>
        <v>1.1100017701602087</v>
      </c>
      <c r="H14" s="81"/>
      <c r="I14" s="24"/>
      <c r="J14" s="26">
        <f t="shared" si="0"/>
        <v>2.0481552162849868</v>
      </c>
      <c r="K14" s="80"/>
      <c r="L14" s="80"/>
      <c r="M14" s="80"/>
      <c r="N14" s="82">
        <f t="shared" si="4"/>
        <v>1.9047238799456025</v>
      </c>
      <c r="O14" s="80">
        <v>0</v>
      </c>
      <c r="P14" s="80">
        <f t="shared" si="5"/>
        <v>0</v>
      </c>
      <c r="Q14" s="80">
        <v>3358.08</v>
      </c>
      <c r="R14" s="80">
        <f t="shared" si="6"/>
        <v>879816.96</v>
      </c>
      <c r="S14" s="80">
        <v>6.24</v>
      </c>
      <c r="T14" s="80">
        <f t="shared" si="7"/>
        <v>1634.88</v>
      </c>
      <c r="U14" s="26">
        <f t="shared" si="8"/>
        <v>0.8678645866264629</v>
      </c>
      <c r="V14" s="92">
        <f t="shared" si="9"/>
        <v>1</v>
      </c>
      <c r="W14" s="26">
        <f t="shared" si="10"/>
        <v>1</v>
      </c>
      <c r="X14" s="24"/>
      <c r="Y14" s="24"/>
      <c r="Z14" s="26">
        <f t="shared" si="11"/>
        <v>0.9917618032450632</v>
      </c>
      <c r="AA14" s="24">
        <f t="shared" si="12"/>
        <v>494.92648614300145</v>
      </c>
      <c r="AB14" s="26">
        <f t="shared" si="13"/>
        <v>1.8865351503610965</v>
      </c>
      <c r="AC14" s="25">
        <f>SUM(НПn2019!N14)</f>
        <v>292.4487040256662</v>
      </c>
      <c r="AD14" s="26">
        <f t="shared" si="14"/>
        <v>0.6467690763711346</v>
      </c>
      <c r="AE14" s="26">
        <f t="shared" si="15"/>
        <v>0.34283436290457575</v>
      </c>
      <c r="AF14" s="24">
        <f>SUM(ПНД!M16)</f>
        <v>450.2</v>
      </c>
      <c r="AG14" s="35"/>
      <c r="AH14" s="25">
        <f t="shared" si="1"/>
        <v>7.619836952009874</v>
      </c>
      <c r="AI14" s="24">
        <f t="shared" si="16"/>
        <v>6624.3744427751635</v>
      </c>
      <c r="AJ14" s="30">
        <f t="shared" si="17"/>
        <v>6624.3744427751635</v>
      </c>
      <c r="AK14" s="83"/>
      <c r="AL14" s="30">
        <f t="shared" si="18"/>
        <v>441.9001681871464</v>
      </c>
      <c r="AM14" s="94">
        <f t="shared" si="19"/>
        <v>7066.274610962309</v>
      </c>
    </row>
    <row r="15" spans="1:39" s="89" customFormat="1" ht="17.25">
      <c r="A15" s="19" t="s">
        <v>12</v>
      </c>
      <c r="B15" s="86">
        <f>SUM(B3:B14)</f>
        <v>19621</v>
      </c>
      <c r="C15" s="86">
        <f>SUM(C3:C14)</f>
        <v>19621</v>
      </c>
      <c r="D15" s="86">
        <f>SUM(D3:D14)</f>
        <v>3283</v>
      </c>
      <c r="E15" s="87">
        <f t="shared" si="2"/>
        <v>1</v>
      </c>
      <c r="F15" s="88">
        <f>SUM(F3:F14)</f>
        <v>418.29999999999995</v>
      </c>
      <c r="G15" s="87">
        <f t="shared" si="3"/>
        <v>1</v>
      </c>
      <c r="H15" s="86">
        <f>B15/12</f>
        <v>1635.0833333333333</v>
      </c>
      <c r="I15" s="93">
        <v>0.8</v>
      </c>
      <c r="J15" s="87">
        <f t="shared" si="0"/>
        <v>0.8166666666666667</v>
      </c>
      <c r="K15" s="88">
        <f>SUM('а1 а2 а3'!O16)</f>
        <v>0.602921132787213</v>
      </c>
      <c r="L15" s="88">
        <f>SUM('а1 а2 а3'!O28)</f>
        <v>0.01736615210487223</v>
      </c>
      <c r="M15" s="88">
        <f>SUM('а1 а2 а3'!O33)</f>
        <v>0.3797127151079149</v>
      </c>
      <c r="N15" s="82">
        <f>SUM(K$15*J15+L$15*G15+M$15*E15)</f>
        <v>0.889464458989011</v>
      </c>
      <c r="O15" s="88"/>
      <c r="P15" s="88">
        <f>SUM(P3:P14)</f>
        <v>3334279.1299999994</v>
      </c>
      <c r="Q15" s="88"/>
      <c r="R15" s="88">
        <f>SUM(R3:R14)</f>
        <v>60389782.03</v>
      </c>
      <c r="S15" s="88"/>
      <c r="T15" s="88">
        <f>SUM(T3:T14)</f>
        <v>115741</v>
      </c>
      <c r="U15" s="87"/>
      <c r="V15" s="93">
        <f t="shared" si="9"/>
        <v>1</v>
      </c>
      <c r="W15" s="87">
        <f t="shared" si="10"/>
        <v>1</v>
      </c>
      <c r="X15" s="88">
        <f>SUM('q1q2'!O25)</f>
        <v>0.5153138330317226</v>
      </c>
      <c r="Y15" s="88">
        <f>SUM('q1q2'!O26)</f>
        <v>0.062346622639671646</v>
      </c>
      <c r="Z15" s="87">
        <f t="shared" si="11"/>
        <v>0.9376533773603284</v>
      </c>
      <c r="AA15" s="27">
        <f>SUM(AA3:AA14)</f>
        <v>19646.97266007726</v>
      </c>
      <c r="AB15" s="87">
        <f t="shared" si="13"/>
        <v>0.8329068207206018</v>
      </c>
      <c r="AC15" s="28">
        <f>SUM(AC3:AC14)</f>
        <v>33862.59999999999</v>
      </c>
      <c r="AD15" s="26">
        <f t="shared" si="14"/>
        <v>1</v>
      </c>
      <c r="AE15" s="26">
        <f t="shared" si="15"/>
        <v>1.200614492668982</v>
      </c>
      <c r="AF15" s="27">
        <f>SUM(AF3:AF14)</f>
        <v>36136.6</v>
      </c>
      <c r="AG15" s="142">
        <v>239218.4</v>
      </c>
      <c r="AH15" s="28">
        <f t="shared" si="1"/>
        <v>7.619836952009874</v>
      </c>
      <c r="AI15" s="27">
        <f>SUM(AI3:AI14)</f>
        <v>239218.4</v>
      </c>
      <c r="AJ15" s="31">
        <f>SUM(AJ3:AJ14)</f>
        <v>239218.4</v>
      </c>
      <c r="AK15" s="142">
        <v>33093.6</v>
      </c>
      <c r="AL15" s="31">
        <f>SUM(AL3:AL14)</f>
        <v>33093.600000000006</v>
      </c>
      <c r="AM15" s="95">
        <f>SUM(AM3:AM14)</f>
        <v>272312.00000000006</v>
      </c>
    </row>
    <row r="16" ht="23.25" customHeight="1"/>
    <row r="19" spans="21:31" ht="12.75">
      <c r="U19" s="160" t="s">
        <v>126</v>
      </c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</row>
    <row r="20" spans="21:31" ht="12.75"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  <row r="21" spans="21:31" ht="12.75"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</row>
  </sheetData>
  <sheetProtection/>
  <mergeCells count="2">
    <mergeCell ref="A1:AM1"/>
    <mergeCell ref="U19:AE2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49" r:id="rId1"/>
  <colBreaks count="1" manualBreakCount="1">
    <brk id="20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9.28125" style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10" bestFit="1" customWidth="1"/>
    <col min="17" max="16384" width="9.140625" style="2" customWidth="1"/>
  </cols>
  <sheetData>
    <row r="1" spans="1:16" s="15" customFormat="1" ht="24.75" customHeight="1">
      <c r="A1" s="161" t="s">
        <v>129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P1" s="36"/>
    </row>
    <row r="2" spans="1:16" s="7" customFormat="1" ht="66">
      <c r="A2" s="6" t="s">
        <v>0</v>
      </c>
      <c r="B2" s="144" t="s">
        <v>35</v>
      </c>
      <c r="C2" s="14" t="s">
        <v>36</v>
      </c>
      <c r="D2" s="144" t="s">
        <v>37</v>
      </c>
      <c r="E2" s="20" t="s">
        <v>38</v>
      </c>
      <c r="F2" s="144" t="s">
        <v>42</v>
      </c>
      <c r="G2" s="14" t="s">
        <v>39</v>
      </c>
      <c r="H2" s="144" t="s">
        <v>40</v>
      </c>
      <c r="I2" s="20" t="s">
        <v>41</v>
      </c>
      <c r="J2" s="144" t="s">
        <v>43</v>
      </c>
      <c r="K2" s="14" t="s">
        <v>44</v>
      </c>
      <c r="L2" s="144" t="s">
        <v>45</v>
      </c>
      <c r="M2" s="20" t="s">
        <v>46</v>
      </c>
      <c r="N2" s="22" t="s">
        <v>13</v>
      </c>
      <c r="P2" s="11"/>
    </row>
    <row r="3" spans="1:16" s="70" customFormat="1" ht="18">
      <c r="A3" s="3" t="s">
        <v>1</v>
      </c>
      <c r="B3" s="145">
        <v>73340</v>
      </c>
      <c r="C3" s="80">
        <v>0.1</v>
      </c>
      <c r="D3" s="145">
        <v>166291.5</v>
      </c>
      <c r="E3" s="64">
        <f>B$15*C$15*(D3/D$15)</f>
        <v>11910.273982310688</v>
      </c>
      <c r="F3" s="145">
        <v>833</v>
      </c>
      <c r="G3" s="24">
        <v>1</v>
      </c>
      <c r="H3" s="145">
        <v>15570</v>
      </c>
      <c r="I3" s="64">
        <f>F$15*G$15*(H3/H$15)</f>
        <v>1833.7739015651516</v>
      </c>
      <c r="J3" s="145">
        <v>2829.5</v>
      </c>
      <c r="K3" s="24">
        <v>1</v>
      </c>
      <c r="L3" s="145">
        <v>3255</v>
      </c>
      <c r="M3" s="64">
        <f>J$15*K$15*(L3/L$15)</f>
        <v>2701.3150283889286</v>
      </c>
      <c r="N3" s="69">
        <f>SUM(E3+I3+M3)</f>
        <v>16445.36291226477</v>
      </c>
      <c r="P3" s="71"/>
    </row>
    <row r="4" spans="1:16" s="70" customFormat="1" ht="18">
      <c r="A4" s="3" t="s">
        <v>2</v>
      </c>
      <c r="B4" s="145">
        <v>30080</v>
      </c>
      <c r="C4" s="80">
        <v>0.1</v>
      </c>
      <c r="D4" s="145">
        <v>32670.1</v>
      </c>
      <c r="E4" s="64">
        <f>B$15*C$15*(D4/D$15)</f>
        <v>2339.926226111908</v>
      </c>
      <c r="F4" s="145">
        <v>108.2</v>
      </c>
      <c r="G4" s="24">
        <v>1</v>
      </c>
      <c r="H4" s="145">
        <v>42</v>
      </c>
      <c r="I4" s="64">
        <f aca="true" t="shared" si="0" ref="I4:I14">F$15*G$15*(H4/H$15)</f>
        <v>4.946596266264378</v>
      </c>
      <c r="J4" s="145">
        <v>249.8</v>
      </c>
      <c r="K4" s="24">
        <v>1</v>
      </c>
      <c r="L4" s="145">
        <v>79</v>
      </c>
      <c r="M4" s="64">
        <f aca="true" t="shared" si="1" ref="M4:M14">J$15*K$15*(L4/L$15)</f>
        <v>65.56187012065296</v>
      </c>
      <c r="N4" s="69">
        <f aca="true" t="shared" si="2" ref="N4:N14">SUM(E4+I4+M4)</f>
        <v>2410.4346924988254</v>
      </c>
      <c r="P4" s="71"/>
    </row>
    <row r="5" spans="1:16" s="70" customFormat="1" ht="18">
      <c r="A5" s="3" t="s">
        <v>3</v>
      </c>
      <c r="B5" s="145">
        <v>34720</v>
      </c>
      <c r="C5" s="80">
        <v>0.1</v>
      </c>
      <c r="D5" s="145">
        <v>41986.5</v>
      </c>
      <c r="E5" s="64">
        <f aca="true" t="shared" si="3" ref="E5:E13">B$15*C$15*(D5/D$15)</f>
        <v>3007.1935039270656</v>
      </c>
      <c r="F5" s="145">
        <v>109</v>
      </c>
      <c r="G5" s="24">
        <v>1</v>
      </c>
      <c r="H5" s="145">
        <v>56</v>
      </c>
      <c r="I5" s="64">
        <f t="shared" si="0"/>
        <v>6.595461688352504</v>
      </c>
      <c r="J5" s="145">
        <v>785</v>
      </c>
      <c r="K5" s="24">
        <v>1</v>
      </c>
      <c r="L5" s="145">
        <v>197</v>
      </c>
      <c r="M5" s="64">
        <f t="shared" si="1"/>
        <v>163.48972675656492</v>
      </c>
      <c r="N5" s="69">
        <f t="shared" si="2"/>
        <v>3177.2786923719827</v>
      </c>
      <c r="P5" s="71"/>
    </row>
    <row r="6" spans="1:16" s="70" customFormat="1" ht="18">
      <c r="A6" s="3" t="s">
        <v>4</v>
      </c>
      <c r="B6" s="145">
        <v>7070</v>
      </c>
      <c r="C6" s="80">
        <v>0.1</v>
      </c>
      <c r="D6" s="145">
        <v>6840.8</v>
      </c>
      <c r="E6" s="64">
        <f t="shared" si="3"/>
        <v>489.957708350643</v>
      </c>
      <c r="F6" s="145">
        <v>99.3</v>
      </c>
      <c r="G6" s="24">
        <v>1</v>
      </c>
      <c r="H6" s="145">
        <v>21</v>
      </c>
      <c r="I6" s="64">
        <f t="shared" si="0"/>
        <v>2.473298133132189</v>
      </c>
      <c r="J6" s="145">
        <v>72</v>
      </c>
      <c r="K6" s="24">
        <v>1</v>
      </c>
      <c r="L6" s="145">
        <v>55</v>
      </c>
      <c r="M6" s="64">
        <f t="shared" si="1"/>
        <v>45.644339957416605</v>
      </c>
      <c r="N6" s="69">
        <f t="shared" si="2"/>
        <v>538.0753464411918</v>
      </c>
      <c r="P6" s="71"/>
    </row>
    <row r="7" spans="1:16" s="70" customFormat="1" ht="18">
      <c r="A7" s="3" t="s">
        <v>5</v>
      </c>
      <c r="B7" s="145">
        <v>10480</v>
      </c>
      <c r="C7" s="80">
        <v>0.1</v>
      </c>
      <c r="D7" s="145">
        <v>15082.1</v>
      </c>
      <c r="E7" s="64">
        <f t="shared" si="3"/>
        <v>1080.2232418891406</v>
      </c>
      <c r="F7" s="145">
        <v>146.8</v>
      </c>
      <c r="G7" s="24">
        <v>1</v>
      </c>
      <c r="H7" s="145">
        <v>18</v>
      </c>
      <c r="I7" s="64">
        <f t="shared" si="0"/>
        <v>2.1199698283990194</v>
      </c>
      <c r="J7" s="145">
        <v>32</v>
      </c>
      <c r="K7" s="24">
        <v>1</v>
      </c>
      <c r="L7" s="145">
        <v>212</v>
      </c>
      <c r="M7" s="64">
        <f t="shared" si="1"/>
        <v>175.93818310858765</v>
      </c>
      <c r="N7" s="69">
        <f t="shared" si="2"/>
        <v>1258.2813948261273</v>
      </c>
      <c r="P7" s="71"/>
    </row>
    <row r="8" spans="1:16" s="70" customFormat="1" ht="18">
      <c r="A8" s="3" t="s">
        <v>6</v>
      </c>
      <c r="B8" s="145">
        <v>13580</v>
      </c>
      <c r="C8" s="80">
        <v>0.1</v>
      </c>
      <c r="D8" s="145">
        <v>15586.3</v>
      </c>
      <c r="E8" s="64">
        <f t="shared" si="3"/>
        <v>1116.3354914141075</v>
      </c>
      <c r="F8" s="145">
        <v>113.5</v>
      </c>
      <c r="G8" s="24">
        <v>1</v>
      </c>
      <c r="H8" s="145">
        <v>27</v>
      </c>
      <c r="I8" s="64">
        <f t="shared" si="0"/>
        <v>3.179954742598529</v>
      </c>
      <c r="J8" s="145">
        <v>120</v>
      </c>
      <c r="K8" s="24">
        <v>1</v>
      </c>
      <c r="L8" s="145">
        <v>202</v>
      </c>
      <c r="M8" s="64">
        <f t="shared" si="1"/>
        <v>167.63921220723918</v>
      </c>
      <c r="N8" s="69">
        <f t="shared" si="2"/>
        <v>1287.1546583639451</v>
      </c>
      <c r="P8" s="71"/>
    </row>
    <row r="9" spans="1:16" s="70" customFormat="1" ht="18">
      <c r="A9" s="3" t="s">
        <v>14</v>
      </c>
      <c r="B9" s="145">
        <v>38740</v>
      </c>
      <c r="C9" s="80">
        <v>0.1</v>
      </c>
      <c r="D9" s="145">
        <v>37556.4</v>
      </c>
      <c r="E9" s="64">
        <f t="shared" si="3"/>
        <v>2689.8970409747526</v>
      </c>
      <c r="F9" s="145">
        <v>233</v>
      </c>
      <c r="G9" s="24">
        <v>1</v>
      </c>
      <c r="H9" s="145">
        <v>91</v>
      </c>
      <c r="I9" s="64">
        <f t="shared" si="0"/>
        <v>10.717625243572819</v>
      </c>
      <c r="J9" s="145">
        <v>163</v>
      </c>
      <c r="K9" s="24">
        <v>1</v>
      </c>
      <c r="L9" s="145">
        <v>597</v>
      </c>
      <c r="M9" s="64">
        <f t="shared" si="1"/>
        <v>495.4485628105039</v>
      </c>
      <c r="N9" s="69">
        <f t="shared" si="2"/>
        <v>3196.0632290288295</v>
      </c>
      <c r="P9" s="71"/>
    </row>
    <row r="10" spans="1:16" s="70" customFormat="1" ht="18">
      <c r="A10" s="3" t="s">
        <v>7</v>
      </c>
      <c r="B10" s="145">
        <v>9140</v>
      </c>
      <c r="C10" s="80">
        <v>0.1</v>
      </c>
      <c r="D10" s="145">
        <v>7216.5</v>
      </c>
      <c r="E10" s="64">
        <f t="shared" si="3"/>
        <v>516.8664194702981</v>
      </c>
      <c r="F10" s="145">
        <v>28.5</v>
      </c>
      <c r="G10" s="24">
        <v>1</v>
      </c>
      <c r="H10" s="145">
        <v>10</v>
      </c>
      <c r="I10" s="64">
        <f t="shared" si="0"/>
        <v>1.177761015777233</v>
      </c>
      <c r="J10" s="145">
        <v>13</v>
      </c>
      <c r="K10" s="24">
        <v>1</v>
      </c>
      <c r="L10" s="145">
        <v>26</v>
      </c>
      <c r="M10" s="64">
        <f t="shared" si="1"/>
        <v>21.577324343506035</v>
      </c>
      <c r="N10" s="69">
        <f t="shared" si="2"/>
        <v>539.6215048295813</v>
      </c>
      <c r="P10" s="71"/>
    </row>
    <row r="11" spans="1:16" s="70" customFormat="1" ht="18">
      <c r="A11" s="3" t="s">
        <v>8</v>
      </c>
      <c r="B11" s="145">
        <v>8790</v>
      </c>
      <c r="C11" s="80">
        <v>0.1</v>
      </c>
      <c r="D11" s="145">
        <v>12077.2</v>
      </c>
      <c r="E11" s="64">
        <f t="shared" si="3"/>
        <v>865.003688938777</v>
      </c>
      <c r="F11" s="145">
        <v>54.1</v>
      </c>
      <c r="G11" s="24">
        <v>1</v>
      </c>
      <c r="H11" s="145">
        <v>16</v>
      </c>
      <c r="I11" s="64">
        <f t="shared" si="0"/>
        <v>1.8844176252435725</v>
      </c>
      <c r="J11" s="145">
        <v>40</v>
      </c>
      <c r="K11" s="24">
        <v>1</v>
      </c>
      <c r="L11" s="145">
        <v>90</v>
      </c>
      <c r="M11" s="64">
        <f t="shared" si="1"/>
        <v>74.69073811213627</v>
      </c>
      <c r="N11" s="69">
        <f t="shared" si="2"/>
        <v>941.5788446761569</v>
      </c>
      <c r="P11" s="71"/>
    </row>
    <row r="12" spans="1:16" s="70" customFormat="1" ht="18">
      <c r="A12" s="3" t="s">
        <v>9</v>
      </c>
      <c r="B12" s="145">
        <v>24580</v>
      </c>
      <c r="C12" s="80">
        <v>0.1</v>
      </c>
      <c r="D12" s="145">
        <v>21137.2</v>
      </c>
      <c r="E12" s="64">
        <f t="shared" si="3"/>
        <v>1513.9068636634913</v>
      </c>
      <c r="F12" s="145">
        <v>74.5</v>
      </c>
      <c r="G12" s="24">
        <v>1</v>
      </c>
      <c r="H12" s="145">
        <v>33</v>
      </c>
      <c r="I12" s="64">
        <f t="shared" si="0"/>
        <v>3.8866113520648686</v>
      </c>
      <c r="J12" s="145">
        <v>336</v>
      </c>
      <c r="K12" s="24">
        <v>1</v>
      </c>
      <c r="L12" s="145">
        <v>872</v>
      </c>
      <c r="M12" s="64">
        <f t="shared" si="1"/>
        <v>723.670262597587</v>
      </c>
      <c r="N12" s="69">
        <f t="shared" si="2"/>
        <v>2241.463737613143</v>
      </c>
      <c r="P12" s="71"/>
    </row>
    <row r="13" spans="1:16" s="70" customFormat="1" ht="18">
      <c r="A13" s="3" t="s">
        <v>10</v>
      </c>
      <c r="B13" s="145">
        <v>9100</v>
      </c>
      <c r="C13" s="80">
        <v>0.1</v>
      </c>
      <c r="D13" s="145">
        <v>8083.7</v>
      </c>
      <c r="E13" s="64">
        <f t="shared" si="3"/>
        <v>578.9777697044341</v>
      </c>
      <c r="F13" s="145">
        <v>55.1</v>
      </c>
      <c r="G13" s="24">
        <v>1</v>
      </c>
      <c r="H13" s="145">
        <v>17</v>
      </c>
      <c r="I13" s="64">
        <f t="shared" si="0"/>
        <v>2.002193726821296</v>
      </c>
      <c r="J13" s="145">
        <v>21</v>
      </c>
      <c r="K13" s="24">
        <v>1</v>
      </c>
      <c r="L13" s="145">
        <v>34</v>
      </c>
      <c r="M13" s="64">
        <f t="shared" si="1"/>
        <v>28.216501064584815</v>
      </c>
      <c r="N13" s="69">
        <f t="shared" si="2"/>
        <v>609.1964644958401</v>
      </c>
      <c r="P13" s="71"/>
    </row>
    <row r="14" spans="1:16" s="70" customFormat="1" ht="18">
      <c r="A14" s="3" t="s">
        <v>11</v>
      </c>
      <c r="B14" s="145">
        <v>4160</v>
      </c>
      <c r="C14" s="80">
        <v>0.1</v>
      </c>
      <c r="D14" s="145">
        <v>3761.9</v>
      </c>
      <c r="E14" s="64">
        <f>B$15*C$15*(D14/D$15)</f>
        <v>269.43806324469125</v>
      </c>
      <c r="F14" s="145">
        <v>18.7</v>
      </c>
      <c r="G14" s="24">
        <v>1</v>
      </c>
      <c r="H14" s="145">
        <v>8</v>
      </c>
      <c r="I14" s="64">
        <f t="shared" si="0"/>
        <v>0.9422088126217862</v>
      </c>
      <c r="J14" s="145">
        <v>16</v>
      </c>
      <c r="K14" s="24">
        <v>1</v>
      </c>
      <c r="L14" s="145">
        <v>17</v>
      </c>
      <c r="M14" s="64">
        <f t="shared" si="1"/>
        <v>14.108250532292407</v>
      </c>
      <c r="N14" s="69">
        <f t="shared" si="2"/>
        <v>284.48852258960545</v>
      </c>
      <c r="P14" s="71"/>
    </row>
    <row r="15" spans="1:16" s="5" customFormat="1" ht="17.25">
      <c r="A15" s="3" t="s">
        <v>12</v>
      </c>
      <c r="B15" s="146">
        <f>SUM(B3:B14)</f>
        <v>263780</v>
      </c>
      <c r="C15" s="88">
        <v>0.1</v>
      </c>
      <c r="D15" s="146">
        <f>SUM(D3:D14)</f>
        <v>368290.20000000007</v>
      </c>
      <c r="E15" s="28"/>
      <c r="F15" s="146">
        <f>SUM(F3:F14)</f>
        <v>1873.6999999999998</v>
      </c>
      <c r="G15" s="27">
        <v>1</v>
      </c>
      <c r="H15" s="146">
        <f>SUM(H3:H14)</f>
        <v>15909</v>
      </c>
      <c r="I15" s="28"/>
      <c r="J15" s="146">
        <f>SUM(J3:J14)</f>
        <v>4677.3</v>
      </c>
      <c r="K15" s="27">
        <v>1</v>
      </c>
      <c r="L15" s="146">
        <f>SUM(L3:L14)</f>
        <v>5636</v>
      </c>
      <c r="M15" s="28"/>
      <c r="N15" s="96">
        <f>SUM(N3:N14)</f>
        <v>32929</v>
      </c>
      <c r="P15" s="13"/>
    </row>
    <row r="16" ht="23.25" customHeight="1"/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9.00390625" style="1" bestFit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10" bestFit="1" customWidth="1"/>
    <col min="17" max="16384" width="9.140625" style="2" customWidth="1"/>
  </cols>
  <sheetData>
    <row r="1" spans="1:14" ht="24.75" customHeight="1">
      <c r="A1" s="161" t="s">
        <v>135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6" s="7" customFormat="1" ht="66">
      <c r="A2" s="6" t="s">
        <v>0</v>
      </c>
      <c r="B2" s="144" t="s">
        <v>35</v>
      </c>
      <c r="C2" s="14" t="s">
        <v>36</v>
      </c>
      <c r="D2" s="144" t="s">
        <v>37</v>
      </c>
      <c r="E2" s="20" t="s">
        <v>38</v>
      </c>
      <c r="F2" s="144" t="s">
        <v>42</v>
      </c>
      <c r="G2" s="14" t="s">
        <v>39</v>
      </c>
      <c r="H2" s="144" t="s">
        <v>40</v>
      </c>
      <c r="I2" s="20" t="s">
        <v>41</v>
      </c>
      <c r="J2" s="144" t="s">
        <v>43</v>
      </c>
      <c r="K2" s="14" t="s">
        <v>44</v>
      </c>
      <c r="L2" s="144" t="s">
        <v>45</v>
      </c>
      <c r="M2" s="20" t="s">
        <v>46</v>
      </c>
      <c r="N2" s="22" t="s">
        <v>13</v>
      </c>
      <c r="P2" s="11"/>
    </row>
    <row r="3" spans="1:16" s="70" customFormat="1" ht="18">
      <c r="A3" s="3" t="s">
        <v>1</v>
      </c>
      <c r="B3" s="145">
        <v>74000</v>
      </c>
      <c r="C3" s="80">
        <v>0.1</v>
      </c>
      <c r="D3" s="145">
        <v>166291.5</v>
      </c>
      <c r="E3" s="64">
        <f>B$15*C$15*(D3/D$15)</f>
        <v>12017.284935901089</v>
      </c>
      <c r="F3" s="145">
        <v>866.3</v>
      </c>
      <c r="G3" s="24">
        <v>1</v>
      </c>
      <c r="H3" s="145">
        <v>15570</v>
      </c>
      <c r="I3" s="64">
        <f>F$15*G$15*(H3/H$15)</f>
        <v>1907.077880445031</v>
      </c>
      <c r="J3" s="145">
        <v>2829.5</v>
      </c>
      <c r="K3" s="24">
        <v>1</v>
      </c>
      <c r="L3" s="145">
        <v>3255</v>
      </c>
      <c r="M3" s="64">
        <f>J$15*K$15*(L3/L$15)</f>
        <v>2704.8957594038325</v>
      </c>
      <c r="N3" s="69">
        <f>SUM(E3+I3+M3)</f>
        <v>16629.25857574995</v>
      </c>
      <c r="P3" s="71"/>
    </row>
    <row r="4" spans="1:16" s="70" customFormat="1" ht="18">
      <c r="A4" s="3" t="s">
        <v>2</v>
      </c>
      <c r="B4" s="145">
        <v>30350</v>
      </c>
      <c r="C4" s="80">
        <v>0.1</v>
      </c>
      <c r="D4" s="145">
        <v>32670.1</v>
      </c>
      <c r="E4" s="64">
        <f aca="true" t="shared" si="0" ref="E4:E14">B$15*C$15*(D4/D$15)</f>
        <v>2360.9499017350986</v>
      </c>
      <c r="F4" s="145">
        <v>112.5</v>
      </c>
      <c r="G4" s="24">
        <v>1</v>
      </c>
      <c r="H4" s="145">
        <v>42</v>
      </c>
      <c r="I4" s="64">
        <f aca="true" t="shared" si="1" ref="I4:I14">F$15*G$15*(H4/H$15)</f>
        <v>5.144333396190835</v>
      </c>
      <c r="J4" s="145">
        <v>251.8</v>
      </c>
      <c r="K4" s="24">
        <v>1</v>
      </c>
      <c r="L4" s="145">
        <v>79</v>
      </c>
      <c r="M4" s="64">
        <f aca="true" t="shared" si="2" ref="M4:M14">J$15*K$15*(L4/L$15)</f>
        <v>65.64877572746629</v>
      </c>
      <c r="N4" s="69">
        <f>SUM(E4+I4+M4)</f>
        <v>2431.7430108587555</v>
      </c>
      <c r="P4" s="71"/>
    </row>
    <row r="5" spans="1:16" s="70" customFormat="1" ht="18">
      <c r="A5" s="3" t="s">
        <v>3</v>
      </c>
      <c r="B5" s="145">
        <v>35030</v>
      </c>
      <c r="C5" s="80">
        <v>0.1</v>
      </c>
      <c r="D5" s="145">
        <v>41986.5</v>
      </c>
      <c r="E5" s="64">
        <f t="shared" si="0"/>
        <v>3034.2124159154923</v>
      </c>
      <c r="F5" s="145">
        <v>113.4</v>
      </c>
      <c r="G5" s="24">
        <v>1</v>
      </c>
      <c r="H5" s="145">
        <v>56</v>
      </c>
      <c r="I5" s="64">
        <f t="shared" si="1"/>
        <v>6.859111194921113</v>
      </c>
      <c r="J5" s="145">
        <v>785.8</v>
      </c>
      <c r="K5" s="24">
        <v>1</v>
      </c>
      <c r="L5" s="145">
        <v>197</v>
      </c>
      <c r="M5" s="64">
        <f t="shared" si="2"/>
        <v>163.70644073811212</v>
      </c>
      <c r="N5" s="69">
        <f aca="true" t="shared" si="3" ref="N5:N14">SUM(E5+I5+M5)</f>
        <v>3204.777967848526</v>
      </c>
      <c r="P5" s="71"/>
    </row>
    <row r="6" spans="1:16" s="70" customFormat="1" ht="18">
      <c r="A6" s="3" t="s">
        <v>4</v>
      </c>
      <c r="B6" s="145">
        <v>7130</v>
      </c>
      <c r="C6" s="80">
        <v>0.1</v>
      </c>
      <c r="D6" s="145">
        <v>6840.8</v>
      </c>
      <c r="E6" s="64">
        <f t="shared" si="0"/>
        <v>494.3598607836971</v>
      </c>
      <c r="F6" s="145">
        <v>103.3</v>
      </c>
      <c r="G6" s="24">
        <v>1</v>
      </c>
      <c r="H6" s="145">
        <v>21</v>
      </c>
      <c r="I6" s="64">
        <f t="shared" si="1"/>
        <v>2.5721666980954176</v>
      </c>
      <c r="J6" s="145">
        <v>73</v>
      </c>
      <c r="K6" s="24">
        <v>1</v>
      </c>
      <c r="L6" s="145">
        <v>55</v>
      </c>
      <c r="M6" s="64">
        <f t="shared" si="2"/>
        <v>45.70484386089425</v>
      </c>
      <c r="N6" s="69">
        <f t="shared" si="3"/>
        <v>542.6368713426868</v>
      </c>
      <c r="P6" s="71"/>
    </row>
    <row r="7" spans="1:16" s="70" customFormat="1" ht="18">
      <c r="A7" s="3" t="s">
        <v>5</v>
      </c>
      <c r="B7" s="145">
        <v>10570</v>
      </c>
      <c r="C7" s="80">
        <v>0.1</v>
      </c>
      <c r="D7" s="145">
        <v>15082.1</v>
      </c>
      <c r="E7" s="64">
        <f t="shared" si="0"/>
        <v>1089.9287884934217</v>
      </c>
      <c r="F7" s="145">
        <v>152.7</v>
      </c>
      <c r="G7" s="24">
        <v>1</v>
      </c>
      <c r="H7" s="145">
        <v>18</v>
      </c>
      <c r="I7" s="64">
        <f t="shared" si="1"/>
        <v>2.2047143126532154</v>
      </c>
      <c r="J7" s="145">
        <v>32</v>
      </c>
      <c r="K7" s="24">
        <v>1</v>
      </c>
      <c r="L7" s="145">
        <v>212</v>
      </c>
      <c r="M7" s="64">
        <f t="shared" si="2"/>
        <v>176.17139815471964</v>
      </c>
      <c r="N7" s="69">
        <f t="shared" si="3"/>
        <v>1268.3049009607946</v>
      </c>
      <c r="P7" s="71"/>
    </row>
    <row r="8" spans="1:16" s="70" customFormat="1" ht="18">
      <c r="A8" s="3" t="s">
        <v>6</v>
      </c>
      <c r="B8" s="145">
        <v>13710</v>
      </c>
      <c r="C8" s="80">
        <v>0.1</v>
      </c>
      <c r="D8" s="145">
        <v>15586.3</v>
      </c>
      <c r="E8" s="64">
        <f t="shared" si="0"/>
        <v>1126.3654979144162</v>
      </c>
      <c r="F8" s="145">
        <v>118</v>
      </c>
      <c r="G8" s="24">
        <v>1</v>
      </c>
      <c r="H8" s="145">
        <v>27</v>
      </c>
      <c r="I8" s="64">
        <f t="shared" si="1"/>
        <v>3.3070714689798226</v>
      </c>
      <c r="J8" s="145">
        <v>120</v>
      </c>
      <c r="K8" s="24">
        <v>1</v>
      </c>
      <c r="L8" s="145">
        <v>202</v>
      </c>
      <c r="M8" s="64">
        <f t="shared" si="2"/>
        <v>167.86142654364798</v>
      </c>
      <c r="N8" s="69">
        <f t="shared" si="3"/>
        <v>1297.5339959270439</v>
      </c>
      <c r="P8" s="71"/>
    </row>
    <row r="9" spans="1:16" s="70" customFormat="1" ht="18">
      <c r="A9" s="3" t="s">
        <v>14</v>
      </c>
      <c r="B9" s="145">
        <v>39090</v>
      </c>
      <c r="C9" s="80">
        <v>0.1</v>
      </c>
      <c r="D9" s="145">
        <v>37556.4</v>
      </c>
      <c r="E9" s="64">
        <f t="shared" si="0"/>
        <v>2714.065120386043</v>
      </c>
      <c r="F9" s="145">
        <v>242.3</v>
      </c>
      <c r="G9" s="24">
        <v>1</v>
      </c>
      <c r="H9" s="145">
        <v>91</v>
      </c>
      <c r="I9" s="64">
        <f t="shared" si="1"/>
        <v>11.14605569174681</v>
      </c>
      <c r="J9" s="145">
        <v>163</v>
      </c>
      <c r="K9" s="24">
        <v>1</v>
      </c>
      <c r="L9" s="145">
        <v>597</v>
      </c>
      <c r="M9" s="64">
        <f t="shared" si="2"/>
        <v>496.1053051809794</v>
      </c>
      <c r="N9" s="69">
        <f t="shared" si="3"/>
        <v>3221.3164812587693</v>
      </c>
      <c r="P9" s="71"/>
    </row>
    <row r="10" spans="1:16" s="70" customFormat="1" ht="18">
      <c r="A10" s="3" t="s">
        <v>7</v>
      </c>
      <c r="B10" s="145">
        <v>9220</v>
      </c>
      <c r="C10" s="80">
        <v>0.1</v>
      </c>
      <c r="D10" s="145">
        <v>7216.5</v>
      </c>
      <c r="E10" s="64">
        <f t="shared" si="0"/>
        <v>521.5103402154061</v>
      </c>
      <c r="F10" s="145">
        <v>29.6</v>
      </c>
      <c r="G10" s="24">
        <v>1</v>
      </c>
      <c r="H10" s="145">
        <v>10</v>
      </c>
      <c r="I10" s="64">
        <f t="shared" si="1"/>
        <v>1.2248412848073418</v>
      </c>
      <c r="J10" s="145">
        <v>13</v>
      </c>
      <c r="K10" s="24">
        <v>1</v>
      </c>
      <c r="L10" s="145">
        <v>26</v>
      </c>
      <c r="M10" s="64">
        <f t="shared" si="2"/>
        <v>21.605926188786373</v>
      </c>
      <c r="N10" s="69">
        <f t="shared" si="3"/>
        <v>544.3411076889998</v>
      </c>
      <c r="P10" s="71"/>
    </row>
    <row r="11" spans="1:16" s="70" customFormat="1" ht="18">
      <c r="A11" s="3" t="s">
        <v>8</v>
      </c>
      <c r="B11" s="145">
        <v>8870</v>
      </c>
      <c r="C11" s="80">
        <v>0.1</v>
      </c>
      <c r="D11" s="145">
        <v>12077.2</v>
      </c>
      <c r="E11" s="64">
        <f t="shared" si="0"/>
        <v>872.7755395066173</v>
      </c>
      <c r="F11" s="145">
        <v>56.3</v>
      </c>
      <c r="G11" s="24">
        <v>1</v>
      </c>
      <c r="H11" s="145">
        <v>16</v>
      </c>
      <c r="I11" s="64">
        <f t="shared" si="1"/>
        <v>1.9597460556917465</v>
      </c>
      <c r="J11" s="145">
        <v>41</v>
      </c>
      <c r="K11" s="24">
        <v>1</v>
      </c>
      <c r="L11" s="145">
        <v>90</v>
      </c>
      <c r="M11" s="64">
        <f t="shared" si="2"/>
        <v>74.78974449964514</v>
      </c>
      <c r="N11" s="69">
        <f t="shared" si="3"/>
        <v>949.5250300619542</v>
      </c>
      <c r="P11" s="71"/>
    </row>
    <row r="12" spans="1:16" s="4" customFormat="1" ht="18">
      <c r="A12" s="3" t="s">
        <v>9</v>
      </c>
      <c r="B12" s="145">
        <v>24800</v>
      </c>
      <c r="C12" s="80">
        <v>0.1</v>
      </c>
      <c r="D12" s="145">
        <v>21137.2</v>
      </c>
      <c r="E12" s="64">
        <f t="shared" si="0"/>
        <v>1527.5089535371833</v>
      </c>
      <c r="F12" s="145">
        <v>77.5</v>
      </c>
      <c r="G12" s="24">
        <v>1</v>
      </c>
      <c r="H12" s="145">
        <v>33</v>
      </c>
      <c r="I12" s="64">
        <f t="shared" si="1"/>
        <v>4.041976239864227</v>
      </c>
      <c r="J12" s="145">
        <v>336.4</v>
      </c>
      <c r="K12" s="24">
        <v>1</v>
      </c>
      <c r="L12" s="145">
        <v>872</v>
      </c>
      <c r="M12" s="66">
        <f t="shared" si="2"/>
        <v>724.6295244854507</v>
      </c>
      <c r="N12" s="67">
        <f t="shared" si="3"/>
        <v>2256.180454262498</v>
      </c>
      <c r="P12" s="12"/>
    </row>
    <row r="13" spans="1:16" s="4" customFormat="1" ht="18">
      <c r="A13" s="3" t="s">
        <v>10</v>
      </c>
      <c r="B13" s="145">
        <v>9180</v>
      </c>
      <c r="C13" s="80">
        <v>0.1</v>
      </c>
      <c r="D13" s="145">
        <v>8083.7</v>
      </c>
      <c r="E13" s="64">
        <f t="shared" si="0"/>
        <v>584.1797460263672</v>
      </c>
      <c r="F13" s="145">
        <v>57.3</v>
      </c>
      <c r="G13" s="24">
        <v>1</v>
      </c>
      <c r="H13" s="145">
        <v>17</v>
      </c>
      <c r="I13" s="64">
        <f t="shared" si="1"/>
        <v>2.082230184172481</v>
      </c>
      <c r="J13" s="145">
        <v>22</v>
      </c>
      <c r="K13" s="24">
        <v>1</v>
      </c>
      <c r="L13" s="145">
        <v>34</v>
      </c>
      <c r="M13" s="66">
        <f t="shared" si="2"/>
        <v>28.25390347764372</v>
      </c>
      <c r="N13" s="67">
        <f t="shared" si="3"/>
        <v>614.5158796881833</v>
      </c>
      <c r="P13" s="12"/>
    </row>
    <row r="14" spans="1:16" s="4" customFormat="1" ht="18">
      <c r="A14" s="3" t="s">
        <v>11</v>
      </c>
      <c r="B14" s="145">
        <v>4200</v>
      </c>
      <c r="C14" s="80">
        <v>0.1</v>
      </c>
      <c r="D14" s="145">
        <v>3761.9</v>
      </c>
      <c r="E14" s="64">
        <f t="shared" si="0"/>
        <v>271.85889958516407</v>
      </c>
      <c r="F14" s="145">
        <v>19.4</v>
      </c>
      <c r="G14" s="24">
        <v>1</v>
      </c>
      <c r="H14" s="145">
        <v>8</v>
      </c>
      <c r="I14" s="64">
        <f t="shared" si="1"/>
        <v>0.9798730278458733</v>
      </c>
      <c r="J14" s="145">
        <v>16</v>
      </c>
      <c r="K14" s="24">
        <v>1</v>
      </c>
      <c r="L14" s="145">
        <v>17</v>
      </c>
      <c r="M14" s="66">
        <f t="shared" si="2"/>
        <v>14.12695173882186</v>
      </c>
      <c r="N14" s="67">
        <f t="shared" si="3"/>
        <v>286.9657243518318</v>
      </c>
      <c r="P14" s="12"/>
    </row>
    <row r="15" spans="1:16" s="5" customFormat="1" ht="17.25">
      <c r="A15" s="3" t="s">
        <v>12</v>
      </c>
      <c r="B15" s="146">
        <f>SUM(B3:B14)</f>
        <v>266150</v>
      </c>
      <c r="C15" s="88">
        <v>0.1</v>
      </c>
      <c r="D15" s="146">
        <f>SUM(D3:D14)</f>
        <v>368290.20000000007</v>
      </c>
      <c r="E15" s="28"/>
      <c r="F15" s="146">
        <f>SUM(F3:F14)</f>
        <v>1948.6</v>
      </c>
      <c r="G15" s="27">
        <v>1</v>
      </c>
      <c r="H15" s="146">
        <f>SUM(H3:H14)</f>
        <v>15909</v>
      </c>
      <c r="I15" s="28"/>
      <c r="J15" s="146">
        <f>SUM(J3:J14)</f>
        <v>4683.5</v>
      </c>
      <c r="K15" s="27">
        <v>1</v>
      </c>
      <c r="L15" s="146">
        <f>SUM(L3:L14)</f>
        <v>5636</v>
      </c>
      <c r="M15" s="34"/>
      <c r="N15" s="68">
        <f>SUM(N3:N14)</f>
        <v>33247.09999999999</v>
      </c>
      <c r="P15" s="13"/>
    </row>
    <row r="16" ht="23.25" customHeight="1"/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9.00390625" style="1" bestFit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10" bestFit="1" customWidth="1"/>
    <col min="17" max="16384" width="9.140625" style="2" customWidth="1"/>
  </cols>
  <sheetData>
    <row r="1" spans="1:16" s="15" customFormat="1" ht="24.75" customHeight="1">
      <c r="A1" s="161" t="s">
        <v>140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P1" s="36"/>
    </row>
    <row r="2" spans="1:16" s="7" customFormat="1" ht="66">
      <c r="A2" s="6" t="s">
        <v>0</v>
      </c>
      <c r="B2" s="144" t="s">
        <v>35</v>
      </c>
      <c r="C2" s="14" t="s">
        <v>36</v>
      </c>
      <c r="D2" s="144" t="s">
        <v>37</v>
      </c>
      <c r="E2" s="20" t="s">
        <v>38</v>
      </c>
      <c r="F2" s="144" t="s">
        <v>42</v>
      </c>
      <c r="G2" s="14" t="s">
        <v>39</v>
      </c>
      <c r="H2" s="144" t="s">
        <v>40</v>
      </c>
      <c r="I2" s="20" t="s">
        <v>41</v>
      </c>
      <c r="J2" s="144" t="s">
        <v>43</v>
      </c>
      <c r="K2" s="14" t="s">
        <v>44</v>
      </c>
      <c r="L2" s="144" t="s">
        <v>45</v>
      </c>
      <c r="M2" s="20" t="s">
        <v>46</v>
      </c>
      <c r="N2" s="22" t="s">
        <v>13</v>
      </c>
      <c r="P2" s="11"/>
    </row>
    <row r="3" spans="1:16" s="70" customFormat="1" ht="18">
      <c r="A3" s="3" t="s">
        <v>1</v>
      </c>
      <c r="B3" s="145">
        <v>75480</v>
      </c>
      <c r="C3" s="80">
        <v>0.1</v>
      </c>
      <c r="D3" s="145">
        <v>166291.5</v>
      </c>
      <c r="E3" s="64">
        <f>B$15*C$15*(D3/D$15)</f>
        <v>12257.043654704903</v>
      </c>
      <c r="F3" s="145">
        <v>900.9</v>
      </c>
      <c r="G3" s="24">
        <v>1</v>
      </c>
      <c r="H3" s="145">
        <v>15570</v>
      </c>
      <c r="I3" s="64">
        <f>F$15*G$15*(H3/H$15)</f>
        <v>1983.3179332453326</v>
      </c>
      <c r="J3" s="145">
        <v>2829.5</v>
      </c>
      <c r="K3" s="24">
        <v>1</v>
      </c>
      <c r="L3" s="145">
        <v>3255</v>
      </c>
      <c r="M3" s="64">
        <f>J$15*K$15*(L3/L$15)</f>
        <v>2708.707505322924</v>
      </c>
      <c r="N3" s="69">
        <f>SUM(E3+I3+M3)</f>
        <v>16949.06909327316</v>
      </c>
      <c r="P3" s="71"/>
    </row>
    <row r="4" spans="1:16" s="70" customFormat="1" ht="18">
      <c r="A4" s="3" t="s">
        <v>2</v>
      </c>
      <c r="B4" s="145">
        <v>30960</v>
      </c>
      <c r="C4" s="80">
        <v>0.1</v>
      </c>
      <c r="D4" s="145">
        <v>32670.1</v>
      </c>
      <c r="E4" s="64">
        <f aca="true" t="shared" si="0" ref="E4:E14">B$15*C$15*(D4/D$15)</f>
        <v>2408.0535800300954</v>
      </c>
      <c r="F4" s="145">
        <v>117</v>
      </c>
      <c r="G4" s="24">
        <v>1</v>
      </c>
      <c r="H4" s="145">
        <v>42</v>
      </c>
      <c r="I4" s="64">
        <f aca="true" t="shared" si="1" ref="I4:I14">F$15*G$15*(H4/H$15)</f>
        <v>5.349990571374693</v>
      </c>
      <c r="J4" s="145">
        <v>253.8</v>
      </c>
      <c r="K4" s="24">
        <v>1</v>
      </c>
      <c r="L4" s="145">
        <v>79</v>
      </c>
      <c r="M4" s="64">
        <f aca="true" t="shared" si="2" ref="M4:M14">J$15*K$15*(L4/L$15)</f>
        <v>65.74128814762241</v>
      </c>
      <c r="N4" s="69">
        <f aca="true" t="shared" si="3" ref="N4:N14">SUM(E4+I4+M4)</f>
        <v>2479.1448587490927</v>
      </c>
      <c r="P4" s="71"/>
    </row>
    <row r="5" spans="1:16" s="70" customFormat="1" ht="18">
      <c r="A5" s="3" t="s">
        <v>3</v>
      </c>
      <c r="B5" s="145">
        <v>35730</v>
      </c>
      <c r="C5" s="80">
        <v>0.1</v>
      </c>
      <c r="D5" s="145">
        <v>41986.5</v>
      </c>
      <c r="E5" s="64">
        <f t="shared" si="0"/>
        <v>3094.748459231334</v>
      </c>
      <c r="F5" s="145">
        <v>117.9</v>
      </c>
      <c r="G5" s="24">
        <v>1</v>
      </c>
      <c r="H5" s="145">
        <v>56</v>
      </c>
      <c r="I5" s="64">
        <f t="shared" si="1"/>
        <v>7.133320761832924</v>
      </c>
      <c r="J5" s="145">
        <v>787.6</v>
      </c>
      <c r="K5" s="24">
        <v>1</v>
      </c>
      <c r="L5" s="145">
        <v>197</v>
      </c>
      <c r="M5" s="64">
        <f t="shared" si="2"/>
        <v>163.9371362668559</v>
      </c>
      <c r="N5" s="69">
        <f t="shared" si="3"/>
        <v>3265.818916260023</v>
      </c>
      <c r="P5" s="71"/>
    </row>
    <row r="6" spans="1:16" s="70" customFormat="1" ht="18">
      <c r="A6" s="3" t="s">
        <v>4</v>
      </c>
      <c r="B6" s="145">
        <v>7270</v>
      </c>
      <c r="C6" s="80">
        <v>0.1</v>
      </c>
      <c r="D6" s="145">
        <v>6840.8</v>
      </c>
      <c r="E6" s="64">
        <f t="shared" si="0"/>
        <v>504.2229111716792</v>
      </c>
      <c r="F6" s="145">
        <v>107.4</v>
      </c>
      <c r="G6" s="24">
        <v>1</v>
      </c>
      <c r="H6" s="145">
        <v>21</v>
      </c>
      <c r="I6" s="64">
        <f t="shared" si="1"/>
        <v>2.6749952856873467</v>
      </c>
      <c r="J6" s="145">
        <v>73.5</v>
      </c>
      <c r="K6" s="24">
        <v>1</v>
      </c>
      <c r="L6" s="145">
        <v>55</v>
      </c>
      <c r="M6" s="64">
        <f t="shared" si="2"/>
        <v>45.769251242015606</v>
      </c>
      <c r="N6" s="69">
        <f t="shared" si="3"/>
        <v>552.6671576993822</v>
      </c>
      <c r="P6" s="71"/>
    </row>
    <row r="7" spans="1:16" s="70" customFormat="1" ht="18">
      <c r="A7" s="3" t="s">
        <v>5</v>
      </c>
      <c r="B7" s="145">
        <v>10780</v>
      </c>
      <c r="C7" s="80">
        <v>0.1</v>
      </c>
      <c r="D7" s="145">
        <v>15082.1</v>
      </c>
      <c r="E7" s="64">
        <f t="shared" si="0"/>
        <v>1111.6741270878235</v>
      </c>
      <c r="F7" s="145">
        <v>158.8</v>
      </c>
      <c r="G7" s="24">
        <v>1</v>
      </c>
      <c r="H7" s="145">
        <v>18</v>
      </c>
      <c r="I7" s="64">
        <f t="shared" si="1"/>
        <v>2.292853102017726</v>
      </c>
      <c r="J7" s="145">
        <v>32</v>
      </c>
      <c r="K7" s="24">
        <v>1</v>
      </c>
      <c r="L7" s="145">
        <v>212</v>
      </c>
      <c r="M7" s="64">
        <f t="shared" si="2"/>
        <v>176.41965933286014</v>
      </c>
      <c r="N7" s="69">
        <f t="shared" si="3"/>
        <v>1290.3866395227014</v>
      </c>
      <c r="P7" s="71"/>
    </row>
    <row r="8" spans="1:16" s="70" customFormat="1" ht="18">
      <c r="A8" s="3" t="s">
        <v>6</v>
      </c>
      <c r="B8" s="145">
        <v>13980</v>
      </c>
      <c r="C8" s="80">
        <v>0.1</v>
      </c>
      <c r="D8" s="145">
        <v>15586.3</v>
      </c>
      <c r="E8" s="64">
        <f t="shared" si="0"/>
        <v>1148.8377909594117</v>
      </c>
      <c r="F8" s="145">
        <v>122.7</v>
      </c>
      <c r="G8" s="24">
        <v>1</v>
      </c>
      <c r="H8" s="145">
        <v>27</v>
      </c>
      <c r="I8" s="64">
        <f t="shared" si="1"/>
        <v>3.4392796530265883</v>
      </c>
      <c r="J8" s="145">
        <v>120</v>
      </c>
      <c r="K8" s="24">
        <v>1</v>
      </c>
      <c r="L8" s="145">
        <v>202</v>
      </c>
      <c r="M8" s="64">
        <f t="shared" si="2"/>
        <v>168.09797728885732</v>
      </c>
      <c r="N8" s="69">
        <f t="shared" si="3"/>
        <v>1320.3750479012956</v>
      </c>
      <c r="P8" s="71"/>
    </row>
    <row r="9" spans="1:16" s="70" customFormat="1" ht="18">
      <c r="A9" s="3" t="s">
        <v>14</v>
      </c>
      <c r="B9" s="145">
        <v>39870</v>
      </c>
      <c r="C9" s="80">
        <v>0.1</v>
      </c>
      <c r="D9" s="145">
        <v>37556.4</v>
      </c>
      <c r="E9" s="64">
        <f t="shared" si="0"/>
        <v>2768.213855269567</v>
      </c>
      <c r="F9" s="145">
        <v>252</v>
      </c>
      <c r="G9" s="24">
        <v>1</v>
      </c>
      <c r="H9" s="145">
        <v>91</v>
      </c>
      <c r="I9" s="64">
        <f t="shared" si="1"/>
        <v>11.591646237978502</v>
      </c>
      <c r="J9" s="145">
        <v>163</v>
      </c>
      <c r="K9" s="24">
        <v>1</v>
      </c>
      <c r="L9" s="145">
        <v>597</v>
      </c>
      <c r="M9" s="64">
        <f t="shared" si="2"/>
        <v>496.8044180269694</v>
      </c>
      <c r="N9" s="69">
        <f t="shared" si="3"/>
        <v>3276.609919534515</v>
      </c>
      <c r="P9" s="71"/>
    </row>
    <row r="10" spans="1:16" s="70" customFormat="1" ht="18">
      <c r="A10" s="3" t="s">
        <v>7</v>
      </c>
      <c r="B10" s="145">
        <v>9400</v>
      </c>
      <c r="C10" s="80">
        <v>0.1</v>
      </c>
      <c r="D10" s="145">
        <v>7216.5</v>
      </c>
      <c r="E10" s="64">
        <f t="shared" si="0"/>
        <v>531.9150740367241</v>
      </c>
      <c r="F10" s="145">
        <v>30.8</v>
      </c>
      <c r="G10" s="24">
        <v>1</v>
      </c>
      <c r="H10" s="145">
        <v>10</v>
      </c>
      <c r="I10" s="64">
        <f t="shared" si="1"/>
        <v>1.2738072788987365</v>
      </c>
      <c r="J10" s="145">
        <v>13</v>
      </c>
      <c r="K10" s="24">
        <v>1</v>
      </c>
      <c r="L10" s="145">
        <v>26</v>
      </c>
      <c r="M10" s="64">
        <f t="shared" si="2"/>
        <v>21.63637331440738</v>
      </c>
      <c r="N10" s="69">
        <f t="shared" si="3"/>
        <v>554.8252546300303</v>
      </c>
      <c r="P10" s="71"/>
    </row>
    <row r="11" spans="1:16" s="70" customFormat="1" ht="18">
      <c r="A11" s="3" t="s">
        <v>8</v>
      </c>
      <c r="B11" s="145">
        <v>9040</v>
      </c>
      <c r="C11" s="80">
        <v>0.1</v>
      </c>
      <c r="D11" s="145">
        <v>12077.2</v>
      </c>
      <c r="E11" s="64">
        <f t="shared" si="0"/>
        <v>890.188419892791</v>
      </c>
      <c r="F11" s="145">
        <v>58.6</v>
      </c>
      <c r="G11" s="24">
        <v>1</v>
      </c>
      <c r="H11" s="145">
        <v>16</v>
      </c>
      <c r="I11" s="64">
        <f t="shared" si="1"/>
        <v>2.038091646237978</v>
      </c>
      <c r="J11" s="145">
        <v>42</v>
      </c>
      <c r="K11" s="24">
        <v>1</v>
      </c>
      <c r="L11" s="145">
        <v>90</v>
      </c>
      <c r="M11" s="64">
        <f t="shared" si="2"/>
        <v>74.89513839602554</v>
      </c>
      <c r="N11" s="69">
        <f t="shared" si="3"/>
        <v>967.1216499350545</v>
      </c>
      <c r="P11" s="71"/>
    </row>
    <row r="12" spans="1:16" s="70" customFormat="1" ht="18">
      <c r="A12" s="3" t="s">
        <v>9</v>
      </c>
      <c r="B12" s="145">
        <v>25300</v>
      </c>
      <c r="C12" s="80">
        <v>0.1</v>
      </c>
      <c r="D12" s="145">
        <v>21137.2</v>
      </c>
      <c r="E12" s="64">
        <f t="shared" si="0"/>
        <v>1557.9845219883666</v>
      </c>
      <c r="F12" s="145">
        <v>80.6</v>
      </c>
      <c r="G12" s="24">
        <v>1</v>
      </c>
      <c r="H12" s="145">
        <v>33</v>
      </c>
      <c r="I12" s="64">
        <f t="shared" si="1"/>
        <v>4.20356402036583</v>
      </c>
      <c r="J12" s="145">
        <v>336.7</v>
      </c>
      <c r="K12" s="24">
        <v>1</v>
      </c>
      <c r="L12" s="145">
        <v>872</v>
      </c>
      <c r="M12" s="64">
        <f t="shared" si="2"/>
        <v>725.6506742370475</v>
      </c>
      <c r="N12" s="69">
        <f t="shared" si="3"/>
        <v>2287.8387602457797</v>
      </c>
      <c r="P12" s="71"/>
    </row>
    <row r="13" spans="1:16" s="70" customFormat="1" ht="18">
      <c r="A13" s="3" t="s">
        <v>10</v>
      </c>
      <c r="B13" s="145">
        <v>9370</v>
      </c>
      <c r="C13" s="80">
        <v>0.1</v>
      </c>
      <c r="D13" s="145">
        <v>8083.7</v>
      </c>
      <c r="E13" s="64">
        <f t="shared" si="0"/>
        <v>595.834806899559</v>
      </c>
      <c r="F13" s="145">
        <v>59.6</v>
      </c>
      <c r="G13" s="24">
        <v>1</v>
      </c>
      <c r="H13" s="145">
        <v>17</v>
      </c>
      <c r="I13" s="64">
        <f t="shared" si="1"/>
        <v>2.165472374127852</v>
      </c>
      <c r="J13" s="145">
        <v>23</v>
      </c>
      <c r="K13" s="24">
        <v>1</v>
      </c>
      <c r="L13" s="145">
        <v>34</v>
      </c>
      <c r="M13" s="64">
        <f t="shared" si="2"/>
        <v>28.29371894960965</v>
      </c>
      <c r="N13" s="69">
        <f t="shared" si="3"/>
        <v>626.2939982232965</v>
      </c>
      <c r="P13" s="71"/>
    </row>
    <row r="14" spans="1:16" s="70" customFormat="1" ht="18">
      <c r="A14" s="3" t="s">
        <v>11</v>
      </c>
      <c r="B14" s="145">
        <v>4280</v>
      </c>
      <c r="C14" s="80">
        <v>0.1</v>
      </c>
      <c r="D14" s="145">
        <v>3761.9</v>
      </c>
      <c r="E14" s="64">
        <f t="shared" si="0"/>
        <v>277.2827987277424</v>
      </c>
      <c r="F14" s="145">
        <v>20.2</v>
      </c>
      <c r="G14" s="24">
        <v>1</v>
      </c>
      <c r="H14" s="145">
        <v>8</v>
      </c>
      <c r="I14" s="64">
        <f t="shared" si="1"/>
        <v>1.019045823118989</v>
      </c>
      <c r="J14" s="145">
        <v>16</v>
      </c>
      <c r="K14" s="24">
        <v>1</v>
      </c>
      <c r="L14" s="145">
        <v>17</v>
      </c>
      <c r="M14" s="64">
        <f t="shared" si="2"/>
        <v>14.146859474804826</v>
      </c>
      <c r="N14" s="69">
        <f t="shared" si="3"/>
        <v>292.4487040256662</v>
      </c>
      <c r="P14" s="71"/>
    </row>
    <row r="15" spans="1:16" s="5" customFormat="1" ht="17.25">
      <c r="A15" s="3" t="s">
        <v>12</v>
      </c>
      <c r="B15" s="146">
        <f>SUM(B3:B14)</f>
        <v>271460</v>
      </c>
      <c r="C15" s="88">
        <v>0.1</v>
      </c>
      <c r="D15" s="146">
        <f>SUM(D3:D14)</f>
        <v>368290.20000000007</v>
      </c>
      <c r="E15" s="28"/>
      <c r="F15" s="146">
        <f>SUM(F3:F14)</f>
        <v>2026.4999999999998</v>
      </c>
      <c r="G15" s="27">
        <v>1</v>
      </c>
      <c r="H15" s="146">
        <f>SUM(H3:H14)</f>
        <v>15909</v>
      </c>
      <c r="I15" s="28"/>
      <c r="J15" s="146">
        <f>SUM(J3:J14)</f>
        <v>4690.099999999999</v>
      </c>
      <c r="K15" s="27">
        <v>1</v>
      </c>
      <c r="L15" s="146">
        <f>SUM(L3:L14)</f>
        <v>5636</v>
      </c>
      <c r="M15" s="28"/>
      <c r="N15" s="68">
        <f>SUM(N3:N14)</f>
        <v>33862.59999999999</v>
      </c>
      <c r="P15" s="13"/>
    </row>
    <row r="16" ht="23.25" customHeight="1"/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7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37.00390625" style="51" customWidth="1"/>
    <col min="2" max="2" width="12.7109375" style="49" customWidth="1"/>
    <col min="3" max="3" width="12.57421875" style="49" customWidth="1"/>
    <col min="4" max="4" width="13.28125" style="49" customWidth="1"/>
    <col min="5" max="5" width="11.421875" style="49" customWidth="1"/>
    <col min="6" max="6" width="12.421875" style="49" customWidth="1"/>
    <col min="7" max="7" width="11.7109375" style="49" customWidth="1"/>
    <col min="8" max="8" width="12.28125" style="49" customWidth="1"/>
    <col min="9" max="9" width="11.7109375" style="49" customWidth="1"/>
    <col min="10" max="10" width="12.57421875" style="49" customWidth="1"/>
    <col min="11" max="11" width="11.7109375" style="49" customWidth="1"/>
    <col min="12" max="13" width="10.140625" style="49" bestFit="1" customWidth="1"/>
    <col min="14" max="232" width="9.140625" style="49" customWidth="1"/>
    <col min="233" max="16384" width="9.140625" style="50" customWidth="1"/>
  </cols>
  <sheetData>
    <row r="1" spans="1:13" ht="12.75">
      <c r="A1" s="165" t="s">
        <v>141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ht="12.75">
      <c r="M2" s="49" t="s">
        <v>77</v>
      </c>
    </row>
    <row r="3" spans="1:232" ht="47.25" customHeight="1">
      <c r="A3" s="162" t="s">
        <v>78</v>
      </c>
      <c r="B3" s="163" t="s">
        <v>60</v>
      </c>
      <c r="C3" s="163"/>
      <c r="D3" s="163"/>
      <c r="E3" s="163" t="s">
        <v>61</v>
      </c>
      <c r="F3" s="163"/>
      <c r="G3" s="163"/>
      <c r="H3" s="163" t="s">
        <v>62</v>
      </c>
      <c r="I3" s="163"/>
      <c r="J3" s="163"/>
      <c r="K3" s="164" t="s">
        <v>76</v>
      </c>
      <c r="L3" s="164"/>
      <c r="M3" s="164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</row>
    <row r="4" spans="1:13" ht="12.75" customHeight="1">
      <c r="A4" s="162"/>
      <c r="B4" s="52" t="s">
        <v>128</v>
      </c>
      <c r="C4" s="53" t="s">
        <v>136</v>
      </c>
      <c r="D4" s="54" t="s">
        <v>146</v>
      </c>
      <c r="E4" s="52" t="s">
        <v>128</v>
      </c>
      <c r="F4" s="53" t="s">
        <v>136</v>
      </c>
      <c r="G4" s="54" t="s">
        <v>146</v>
      </c>
      <c r="H4" s="52" t="s">
        <v>128</v>
      </c>
      <c r="I4" s="53" t="s">
        <v>136</v>
      </c>
      <c r="J4" s="54" t="s">
        <v>146</v>
      </c>
      <c r="K4" s="52" t="s">
        <v>128</v>
      </c>
      <c r="L4" s="53" t="s">
        <v>136</v>
      </c>
      <c r="M4" s="54" t="s">
        <v>146</v>
      </c>
    </row>
    <row r="5" spans="1:232" ht="13.5" customHeight="1">
      <c r="A5" s="147" t="s">
        <v>63</v>
      </c>
      <c r="B5" s="136">
        <v>7800</v>
      </c>
      <c r="C5" s="137">
        <v>8300</v>
      </c>
      <c r="D5" s="138">
        <v>8839</v>
      </c>
      <c r="E5" s="139">
        <v>833</v>
      </c>
      <c r="F5" s="140">
        <v>866.3</v>
      </c>
      <c r="G5" s="141">
        <v>900.9</v>
      </c>
      <c r="H5" s="139">
        <v>2829.5</v>
      </c>
      <c r="I5" s="140">
        <v>2829.5</v>
      </c>
      <c r="J5" s="141">
        <v>2829.5</v>
      </c>
      <c r="K5" s="55">
        <f>SUM(B5+E5+H5)</f>
        <v>11462.5</v>
      </c>
      <c r="L5" s="56">
        <f>SUM(C5+F5+I5)</f>
        <v>11995.8</v>
      </c>
      <c r="M5" s="57">
        <f>SUM(D5+G5+J5)</f>
        <v>12569.4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</row>
    <row r="6" spans="1:232" ht="13.5" customHeight="1">
      <c r="A6" s="147" t="s">
        <v>64</v>
      </c>
      <c r="B6" s="136">
        <v>3620</v>
      </c>
      <c r="C6" s="137">
        <v>3621</v>
      </c>
      <c r="D6" s="138">
        <v>3622</v>
      </c>
      <c r="E6" s="139">
        <v>108.2</v>
      </c>
      <c r="F6" s="140">
        <v>112.5</v>
      </c>
      <c r="G6" s="141">
        <v>117</v>
      </c>
      <c r="H6" s="139">
        <v>249.8</v>
      </c>
      <c r="I6" s="140">
        <v>251.8</v>
      </c>
      <c r="J6" s="141">
        <v>253.8</v>
      </c>
      <c r="K6" s="55">
        <f aca="true" t="shared" si="0" ref="K6:M16">SUM(B6+E6+H6)</f>
        <v>3978</v>
      </c>
      <c r="L6" s="56">
        <f t="shared" si="0"/>
        <v>3985.3</v>
      </c>
      <c r="M6" s="57">
        <f t="shared" si="0"/>
        <v>3992.8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</row>
    <row r="7" spans="1:232" ht="13.5" customHeight="1">
      <c r="A7" s="147" t="s">
        <v>65</v>
      </c>
      <c r="B7" s="136">
        <v>4000</v>
      </c>
      <c r="C7" s="137">
        <v>4000</v>
      </c>
      <c r="D7" s="138">
        <v>4000</v>
      </c>
      <c r="E7" s="139">
        <v>109</v>
      </c>
      <c r="F7" s="140">
        <v>113.4</v>
      </c>
      <c r="G7" s="141">
        <v>117.9</v>
      </c>
      <c r="H7" s="139">
        <v>785</v>
      </c>
      <c r="I7" s="140">
        <v>785.8</v>
      </c>
      <c r="J7" s="141">
        <v>787.6</v>
      </c>
      <c r="K7" s="55">
        <f t="shared" si="0"/>
        <v>4894</v>
      </c>
      <c r="L7" s="56">
        <f t="shared" si="0"/>
        <v>4899.2</v>
      </c>
      <c r="M7" s="57">
        <f t="shared" si="0"/>
        <v>4905.5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</row>
    <row r="8" spans="1:232" ht="13.5" customHeight="1">
      <c r="A8" s="147" t="s">
        <v>66</v>
      </c>
      <c r="B8" s="136">
        <v>922</v>
      </c>
      <c r="C8" s="137">
        <v>968</v>
      </c>
      <c r="D8" s="138">
        <v>1094</v>
      </c>
      <c r="E8" s="139">
        <v>55.1</v>
      </c>
      <c r="F8" s="140">
        <v>57.3</v>
      </c>
      <c r="G8" s="141">
        <v>59.6</v>
      </c>
      <c r="H8" s="139">
        <v>21</v>
      </c>
      <c r="I8" s="140">
        <v>22</v>
      </c>
      <c r="J8" s="141">
        <v>23</v>
      </c>
      <c r="K8" s="55">
        <f t="shared" si="0"/>
        <v>998.1</v>
      </c>
      <c r="L8" s="56">
        <f t="shared" si="0"/>
        <v>1047.3</v>
      </c>
      <c r="M8" s="57">
        <f t="shared" si="0"/>
        <v>1176.6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</row>
    <row r="9" spans="1:232" ht="13.5" customHeight="1">
      <c r="A9" s="147" t="s">
        <v>67</v>
      </c>
      <c r="B9" s="136">
        <v>1013</v>
      </c>
      <c r="C9" s="137">
        <v>1030</v>
      </c>
      <c r="D9" s="138">
        <v>1030</v>
      </c>
      <c r="E9" s="139">
        <v>146.8</v>
      </c>
      <c r="F9" s="140">
        <v>152.7</v>
      </c>
      <c r="G9" s="141">
        <v>158.8</v>
      </c>
      <c r="H9" s="139">
        <v>32</v>
      </c>
      <c r="I9" s="140">
        <v>32</v>
      </c>
      <c r="J9" s="141">
        <v>32</v>
      </c>
      <c r="K9" s="55">
        <f t="shared" si="0"/>
        <v>1191.8</v>
      </c>
      <c r="L9" s="56">
        <f t="shared" si="0"/>
        <v>1214.7</v>
      </c>
      <c r="M9" s="57">
        <f t="shared" si="0"/>
        <v>1220.8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</row>
    <row r="10" spans="1:232" ht="13.5" customHeight="1">
      <c r="A10" s="147" t="s">
        <v>68</v>
      </c>
      <c r="B10" s="136">
        <v>786</v>
      </c>
      <c r="C10" s="137">
        <v>786</v>
      </c>
      <c r="D10" s="138">
        <v>786</v>
      </c>
      <c r="E10" s="139">
        <v>28.5</v>
      </c>
      <c r="F10" s="140">
        <v>29.6</v>
      </c>
      <c r="G10" s="141">
        <v>30.8</v>
      </c>
      <c r="H10" s="139">
        <v>13</v>
      </c>
      <c r="I10" s="140">
        <v>13</v>
      </c>
      <c r="J10" s="141">
        <v>13</v>
      </c>
      <c r="K10" s="55">
        <f t="shared" si="0"/>
        <v>827.5</v>
      </c>
      <c r="L10" s="56">
        <f t="shared" si="0"/>
        <v>828.6</v>
      </c>
      <c r="M10" s="57">
        <f t="shared" si="0"/>
        <v>829.8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</row>
    <row r="11" spans="1:232" ht="13.5" customHeight="1">
      <c r="A11" s="147" t="s">
        <v>69</v>
      </c>
      <c r="B11" s="136">
        <v>2500.8</v>
      </c>
      <c r="C11" s="137">
        <v>2600</v>
      </c>
      <c r="D11" s="138">
        <v>2700</v>
      </c>
      <c r="E11" s="139">
        <v>74.5</v>
      </c>
      <c r="F11" s="140">
        <v>77.5</v>
      </c>
      <c r="G11" s="141">
        <v>80.6</v>
      </c>
      <c r="H11" s="139">
        <v>336</v>
      </c>
      <c r="I11" s="140">
        <v>336.4</v>
      </c>
      <c r="J11" s="141">
        <v>336.7</v>
      </c>
      <c r="K11" s="55">
        <f t="shared" si="0"/>
        <v>2911.3</v>
      </c>
      <c r="L11" s="56">
        <f t="shared" si="0"/>
        <v>3013.9</v>
      </c>
      <c r="M11" s="57">
        <f t="shared" si="0"/>
        <v>3117.2999999999997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</row>
    <row r="12" spans="1:232" ht="13.5" customHeight="1">
      <c r="A12" s="147" t="s">
        <v>70</v>
      </c>
      <c r="B12" s="136">
        <v>3843</v>
      </c>
      <c r="C12" s="137">
        <v>3843</v>
      </c>
      <c r="D12" s="138">
        <v>3843</v>
      </c>
      <c r="E12" s="139">
        <v>233</v>
      </c>
      <c r="F12" s="140">
        <v>242.3</v>
      </c>
      <c r="G12" s="141">
        <v>252</v>
      </c>
      <c r="H12" s="139">
        <v>163</v>
      </c>
      <c r="I12" s="140">
        <v>163</v>
      </c>
      <c r="J12" s="141">
        <v>163</v>
      </c>
      <c r="K12" s="55">
        <f t="shared" si="0"/>
        <v>4239</v>
      </c>
      <c r="L12" s="56">
        <f t="shared" si="0"/>
        <v>4248.3</v>
      </c>
      <c r="M12" s="57">
        <f t="shared" si="0"/>
        <v>4258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</row>
    <row r="13" spans="1:232" ht="13.5" customHeight="1">
      <c r="A13" s="147" t="s">
        <v>71</v>
      </c>
      <c r="B13" s="136">
        <v>761</v>
      </c>
      <c r="C13" s="137">
        <v>761</v>
      </c>
      <c r="D13" s="138">
        <v>761</v>
      </c>
      <c r="E13" s="139">
        <v>99.3</v>
      </c>
      <c r="F13" s="140">
        <v>103.3</v>
      </c>
      <c r="G13" s="141">
        <v>107.4</v>
      </c>
      <c r="H13" s="139">
        <v>72</v>
      </c>
      <c r="I13" s="140">
        <v>73</v>
      </c>
      <c r="J13" s="141">
        <v>73.5</v>
      </c>
      <c r="K13" s="55">
        <f t="shared" si="0"/>
        <v>932.3</v>
      </c>
      <c r="L13" s="56">
        <f t="shared" si="0"/>
        <v>937.3</v>
      </c>
      <c r="M13" s="57">
        <f t="shared" si="0"/>
        <v>941.9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</row>
    <row r="14" spans="1:232" ht="13.5" customHeight="1">
      <c r="A14" s="147" t="s">
        <v>72</v>
      </c>
      <c r="B14" s="136">
        <v>1500</v>
      </c>
      <c r="C14" s="137">
        <v>1500</v>
      </c>
      <c r="D14" s="138">
        <v>1500</v>
      </c>
      <c r="E14" s="139">
        <v>113.5</v>
      </c>
      <c r="F14" s="140">
        <v>118</v>
      </c>
      <c r="G14" s="141">
        <v>122.7</v>
      </c>
      <c r="H14" s="139">
        <v>120</v>
      </c>
      <c r="I14" s="140">
        <v>120</v>
      </c>
      <c r="J14" s="141">
        <v>120</v>
      </c>
      <c r="K14" s="55">
        <f t="shared" si="0"/>
        <v>1733.5</v>
      </c>
      <c r="L14" s="56">
        <f t="shared" si="0"/>
        <v>1738</v>
      </c>
      <c r="M14" s="57">
        <f t="shared" si="0"/>
        <v>1742.7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</row>
    <row r="15" spans="1:232" ht="13.5" customHeight="1">
      <c r="A15" s="147" t="s">
        <v>73</v>
      </c>
      <c r="B15" s="136">
        <v>831</v>
      </c>
      <c r="C15" s="137">
        <v>831</v>
      </c>
      <c r="D15" s="138">
        <v>831</v>
      </c>
      <c r="E15" s="139">
        <v>54.1</v>
      </c>
      <c r="F15" s="140">
        <v>56.3</v>
      </c>
      <c r="G15" s="141">
        <v>58.6</v>
      </c>
      <c r="H15" s="139">
        <v>40</v>
      </c>
      <c r="I15" s="140">
        <v>41</v>
      </c>
      <c r="J15" s="141">
        <v>42</v>
      </c>
      <c r="K15" s="55">
        <f t="shared" si="0"/>
        <v>925.1</v>
      </c>
      <c r="L15" s="56">
        <f t="shared" si="0"/>
        <v>928.3</v>
      </c>
      <c r="M15" s="57">
        <f t="shared" si="0"/>
        <v>931.6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</row>
    <row r="16" spans="1:232" ht="13.5" customHeight="1">
      <c r="A16" s="147" t="s">
        <v>74</v>
      </c>
      <c r="B16" s="136">
        <v>414</v>
      </c>
      <c r="C16" s="137">
        <v>414</v>
      </c>
      <c r="D16" s="138">
        <v>414</v>
      </c>
      <c r="E16" s="139">
        <v>18.7</v>
      </c>
      <c r="F16" s="140">
        <v>19.4</v>
      </c>
      <c r="G16" s="141">
        <v>20.2</v>
      </c>
      <c r="H16" s="139">
        <v>16</v>
      </c>
      <c r="I16" s="140">
        <v>16</v>
      </c>
      <c r="J16" s="141">
        <v>16</v>
      </c>
      <c r="K16" s="55">
        <f t="shared" si="0"/>
        <v>448.7</v>
      </c>
      <c r="L16" s="56">
        <f>SUM(C16+F16+I16)</f>
        <v>449.4</v>
      </c>
      <c r="M16" s="57">
        <f t="shared" si="0"/>
        <v>450.2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</row>
    <row r="17" spans="1:13" s="62" customFormat="1" ht="12.75">
      <c r="A17" s="58" t="s">
        <v>75</v>
      </c>
      <c r="B17" s="59">
        <f>SUM(B5:B16)</f>
        <v>27990.8</v>
      </c>
      <c r="C17" s="60">
        <f aca="true" t="shared" si="1" ref="C17:M17">SUM(C5:C16)</f>
        <v>28654</v>
      </c>
      <c r="D17" s="61">
        <f t="shared" si="1"/>
        <v>29420</v>
      </c>
      <c r="E17" s="59">
        <f t="shared" si="1"/>
        <v>1873.6999999999998</v>
      </c>
      <c r="F17" s="60">
        <f t="shared" si="1"/>
        <v>1948.6</v>
      </c>
      <c r="G17" s="61">
        <f t="shared" si="1"/>
        <v>2026.4999999999998</v>
      </c>
      <c r="H17" s="59">
        <f t="shared" si="1"/>
        <v>4677.3</v>
      </c>
      <c r="I17" s="60">
        <f t="shared" si="1"/>
        <v>4683.5</v>
      </c>
      <c r="J17" s="61">
        <f t="shared" si="1"/>
        <v>4690.1</v>
      </c>
      <c r="K17" s="59">
        <f t="shared" si="1"/>
        <v>34541.799999999996</v>
      </c>
      <c r="L17" s="60">
        <f t="shared" si="1"/>
        <v>35286.1</v>
      </c>
      <c r="M17" s="61">
        <f t="shared" si="1"/>
        <v>36136.59999999999</v>
      </c>
    </row>
    <row r="18" s="49" customFormat="1" ht="12.75"/>
    <row r="19" s="49" customFormat="1" ht="12.75"/>
  </sheetData>
  <sheetProtection/>
  <mergeCells count="6">
    <mergeCell ref="A3:A4"/>
    <mergeCell ref="B3:D3"/>
    <mergeCell ref="E3:G3"/>
    <mergeCell ref="H3:J3"/>
    <mergeCell ref="K3:M3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zoomScale="110" zoomScaleNormal="110" zoomScalePageLayoutView="0" workbookViewId="0" topLeftCell="A1">
      <selection activeCell="Q34" sqref="Q34"/>
    </sheetView>
  </sheetViews>
  <sheetFormatPr defaultColWidth="9.140625" defaultRowHeight="15"/>
  <cols>
    <col min="2" max="2" width="10.140625" style="0" bestFit="1" customWidth="1"/>
    <col min="3" max="3" width="10.8515625" style="0" customWidth="1"/>
    <col min="4" max="4" width="10.7109375" style="0" bestFit="1" customWidth="1"/>
    <col min="5" max="5" width="11.421875" style="0" customWidth="1"/>
    <col min="6" max="6" width="8.00390625" style="0" bestFit="1" customWidth="1"/>
    <col min="7" max="7" width="11.140625" style="0" bestFit="1" customWidth="1"/>
    <col min="8" max="8" width="11.00390625" style="0" bestFit="1" customWidth="1"/>
    <col min="9" max="9" width="11.140625" style="0" bestFit="1" customWidth="1"/>
    <col min="10" max="10" width="11.00390625" style="0" bestFit="1" customWidth="1"/>
    <col min="11" max="12" width="8.00390625" style="0" bestFit="1" customWidth="1"/>
    <col min="13" max="13" width="9.28125" style="0" bestFit="1" customWidth="1"/>
    <col min="14" max="14" width="9.7109375" style="0" bestFit="1" customWidth="1"/>
  </cols>
  <sheetData>
    <row r="1" spans="1:14" ht="18">
      <c r="A1" s="166" t="s">
        <v>142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28.5">
      <c r="A3" s="37" t="s">
        <v>79</v>
      </c>
      <c r="B3" s="38" t="s">
        <v>80</v>
      </c>
      <c r="C3" s="132" t="s">
        <v>1</v>
      </c>
      <c r="D3" s="38" t="s">
        <v>9</v>
      </c>
      <c r="E3" s="132" t="s">
        <v>7</v>
      </c>
      <c r="F3" s="38" t="s">
        <v>10</v>
      </c>
      <c r="G3" s="38" t="s">
        <v>14</v>
      </c>
      <c r="H3" s="38" t="s">
        <v>81</v>
      </c>
      <c r="I3" s="38" t="s">
        <v>2</v>
      </c>
      <c r="J3" s="38" t="s">
        <v>6</v>
      </c>
      <c r="K3" s="38" t="s">
        <v>11</v>
      </c>
      <c r="L3" s="38" t="s">
        <v>3</v>
      </c>
      <c r="M3" s="38" t="s">
        <v>4</v>
      </c>
      <c r="N3" s="38" t="s">
        <v>82</v>
      </c>
    </row>
    <row r="4" spans="1:14" ht="14.25">
      <c r="A4" s="39" t="s">
        <v>83</v>
      </c>
      <c r="B4" s="134">
        <v>12090</v>
      </c>
      <c r="C4" s="134">
        <v>19598</v>
      </c>
      <c r="D4" s="148">
        <v>13236.7</v>
      </c>
      <c r="E4" s="148">
        <v>9513.3</v>
      </c>
      <c r="F4" s="148">
        <v>10523.9</v>
      </c>
      <c r="G4" s="148">
        <v>16848.1</v>
      </c>
      <c r="H4" s="148">
        <v>11495.4</v>
      </c>
      <c r="I4" s="148">
        <v>12787.1</v>
      </c>
      <c r="J4" s="148">
        <v>16562.4</v>
      </c>
      <c r="K4" s="148">
        <v>4702.7</v>
      </c>
      <c r="L4" s="150">
        <v>14645.7</v>
      </c>
      <c r="M4" s="148">
        <v>8015.7</v>
      </c>
      <c r="N4" s="97">
        <f>SUM(B4:M4)</f>
        <v>150019</v>
      </c>
    </row>
    <row r="5" spans="1:14" ht="14.25">
      <c r="A5" s="39" t="s">
        <v>84</v>
      </c>
      <c r="B5" s="134">
        <v>241.7</v>
      </c>
      <c r="C5" s="134">
        <v>171.8</v>
      </c>
      <c r="D5" s="148">
        <v>285.7</v>
      </c>
      <c r="E5" s="148">
        <v>240</v>
      </c>
      <c r="F5" s="148">
        <v>175.3</v>
      </c>
      <c r="G5" s="148">
        <v>727</v>
      </c>
      <c r="H5" s="148">
        <v>241.9</v>
      </c>
      <c r="I5" s="148">
        <v>323.5</v>
      </c>
      <c r="J5" s="148">
        <v>252.5</v>
      </c>
      <c r="K5" s="148">
        <v>3.9</v>
      </c>
      <c r="L5" s="150">
        <v>828.5</v>
      </c>
      <c r="M5" s="148">
        <v>207.4</v>
      </c>
      <c r="N5" s="97">
        <f>SUM(B5:M5)</f>
        <v>3699.2000000000003</v>
      </c>
    </row>
    <row r="6" spans="1:14" ht="14.25">
      <c r="A6" s="39" t="s">
        <v>85</v>
      </c>
      <c r="B6" s="134">
        <v>3501.6</v>
      </c>
      <c r="C6" s="134">
        <v>5477</v>
      </c>
      <c r="D6" s="148">
        <v>4063.7</v>
      </c>
      <c r="E6" s="148">
        <v>2710.6</v>
      </c>
      <c r="F6" s="148">
        <v>3146.1</v>
      </c>
      <c r="G6" s="148">
        <v>4760</v>
      </c>
      <c r="H6" s="148">
        <v>3225.6</v>
      </c>
      <c r="I6" s="148">
        <v>3689.9</v>
      </c>
      <c r="J6" s="148">
        <v>4937.8</v>
      </c>
      <c r="K6" s="148">
        <v>1550.8</v>
      </c>
      <c r="L6" s="150">
        <v>5734.3</v>
      </c>
      <c r="M6" s="148">
        <v>2227.2</v>
      </c>
      <c r="N6" s="97">
        <f>SUM(B6:M6)</f>
        <v>45024.600000000006</v>
      </c>
    </row>
    <row r="7" spans="1:14" ht="14.25">
      <c r="A7" s="39" t="s">
        <v>86</v>
      </c>
      <c r="B7" s="134">
        <v>162.8</v>
      </c>
      <c r="C7" s="134">
        <v>360.2</v>
      </c>
      <c r="D7" s="148">
        <v>325.6</v>
      </c>
      <c r="E7" s="148">
        <v>172</v>
      </c>
      <c r="F7" s="148">
        <v>165.3</v>
      </c>
      <c r="G7" s="148">
        <v>687.1</v>
      </c>
      <c r="H7" s="148">
        <v>274.7</v>
      </c>
      <c r="I7" s="148">
        <v>310.6</v>
      </c>
      <c r="J7" s="148">
        <v>269.6</v>
      </c>
      <c r="K7" s="148">
        <v>150</v>
      </c>
      <c r="L7" s="150">
        <v>336.4</v>
      </c>
      <c r="M7" s="148">
        <v>137.4</v>
      </c>
      <c r="N7" s="97">
        <f aca="true" t="shared" si="0" ref="N7:N20">SUM(B7:M7)</f>
        <v>3351.7</v>
      </c>
    </row>
    <row r="8" spans="1:14" ht="14.25">
      <c r="A8" s="39" t="s">
        <v>87</v>
      </c>
      <c r="B8" s="134">
        <v>377.5</v>
      </c>
      <c r="C8" s="134">
        <v>43.5</v>
      </c>
      <c r="D8" s="148">
        <v>355</v>
      </c>
      <c r="E8" s="148">
        <v>372.5</v>
      </c>
      <c r="F8" s="148">
        <v>631.3</v>
      </c>
      <c r="G8" s="148">
        <v>1640.1</v>
      </c>
      <c r="H8" s="148">
        <v>385.8</v>
      </c>
      <c r="I8" s="148">
        <v>184.9</v>
      </c>
      <c r="J8" s="148">
        <v>63.5</v>
      </c>
      <c r="K8" s="148">
        <v>71.1</v>
      </c>
      <c r="L8" s="150">
        <v>201.8</v>
      </c>
      <c r="M8" s="148">
        <v>170.8</v>
      </c>
      <c r="N8" s="97">
        <f t="shared" si="0"/>
        <v>4497.8</v>
      </c>
    </row>
    <row r="9" spans="1:14" ht="14.25">
      <c r="A9" s="39" t="s">
        <v>88</v>
      </c>
      <c r="B9" s="134">
        <v>1617.7</v>
      </c>
      <c r="C9" s="134">
        <v>2408.2</v>
      </c>
      <c r="D9" s="149">
        <v>1417.1</v>
      </c>
      <c r="E9" s="148">
        <v>1932.6</v>
      </c>
      <c r="F9" s="148">
        <v>1024.2</v>
      </c>
      <c r="G9" s="148">
        <v>3230.9</v>
      </c>
      <c r="H9" s="148">
        <v>1646.9</v>
      </c>
      <c r="I9" s="148">
        <v>1773.4</v>
      </c>
      <c r="J9" s="148">
        <v>3788.9</v>
      </c>
      <c r="K9" s="148">
        <v>798.9</v>
      </c>
      <c r="L9" s="150">
        <v>2318.2</v>
      </c>
      <c r="M9" s="148">
        <v>1540.8</v>
      </c>
      <c r="N9" s="97">
        <f t="shared" si="0"/>
        <v>23497.800000000003</v>
      </c>
    </row>
    <row r="10" spans="1:14" ht="14.25">
      <c r="A10" s="39" t="s">
        <v>89</v>
      </c>
      <c r="B10" s="134"/>
      <c r="C10" s="134"/>
      <c r="D10" s="148"/>
      <c r="E10" s="148"/>
      <c r="F10" s="148"/>
      <c r="G10" s="148"/>
      <c r="H10" s="148">
        <v>6.9</v>
      </c>
      <c r="I10" s="148"/>
      <c r="J10" s="148"/>
      <c r="K10" s="148"/>
      <c r="L10" s="150">
        <v>260.6</v>
      </c>
      <c r="M10" s="148"/>
      <c r="N10" s="97">
        <f t="shared" si="0"/>
        <v>267.5</v>
      </c>
    </row>
    <row r="11" spans="1:14" ht="14.25">
      <c r="A11" s="39" t="s">
        <v>90</v>
      </c>
      <c r="B11" s="134">
        <v>2880.8</v>
      </c>
      <c r="C11" s="134">
        <v>23602.1</v>
      </c>
      <c r="D11" s="148">
        <v>4338.3</v>
      </c>
      <c r="E11" s="148">
        <v>4817.3</v>
      </c>
      <c r="F11" s="148">
        <v>3032</v>
      </c>
      <c r="G11" s="148">
        <v>8315.7</v>
      </c>
      <c r="H11" s="148">
        <v>2744.4</v>
      </c>
      <c r="I11" s="148">
        <v>5047.2</v>
      </c>
      <c r="J11" s="148">
        <v>1688.7</v>
      </c>
      <c r="K11" s="148">
        <v>1241.2</v>
      </c>
      <c r="L11" s="150">
        <v>11063.6</v>
      </c>
      <c r="M11" s="148">
        <v>1626.3</v>
      </c>
      <c r="N11" s="97">
        <f t="shared" si="0"/>
        <v>70397.59999999999</v>
      </c>
    </row>
    <row r="12" spans="1:14" ht="14.25">
      <c r="A12" s="39" t="s">
        <v>91</v>
      </c>
      <c r="B12" s="134">
        <v>1909.3</v>
      </c>
      <c r="C12" s="134">
        <v>7784.4</v>
      </c>
      <c r="D12" s="148">
        <v>2447.5</v>
      </c>
      <c r="E12" s="148">
        <v>1302</v>
      </c>
      <c r="F12" s="148">
        <v>1510.2</v>
      </c>
      <c r="G12" s="148">
        <v>10776.6</v>
      </c>
      <c r="H12" s="148">
        <v>3092.8</v>
      </c>
      <c r="I12" s="148">
        <v>2001.5</v>
      </c>
      <c r="J12" s="148">
        <v>1895.8</v>
      </c>
      <c r="K12" s="148">
        <v>1831.3</v>
      </c>
      <c r="L12" s="150">
        <v>3427.4</v>
      </c>
      <c r="M12" s="148">
        <v>2136.5</v>
      </c>
      <c r="N12" s="97">
        <f t="shared" si="0"/>
        <v>40115.3</v>
      </c>
    </row>
    <row r="13" spans="1:14" ht="14.25">
      <c r="A13" s="39" t="s">
        <v>92</v>
      </c>
      <c r="B13" s="134"/>
      <c r="C13" s="134">
        <v>64308</v>
      </c>
      <c r="D13" s="148"/>
      <c r="E13" s="148"/>
      <c r="F13" s="148"/>
      <c r="G13" s="148">
        <v>19957.8</v>
      </c>
      <c r="H13" s="148"/>
      <c r="I13" s="148"/>
      <c r="J13" s="148"/>
      <c r="K13" s="148"/>
      <c r="L13" s="150"/>
      <c r="M13" s="148"/>
      <c r="N13" s="97">
        <f t="shared" si="0"/>
        <v>84265.8</v>
      </c>
    </row>
    <row r="14" spans="1:14" ht="14.25">
      <c r="A14" s="39" t="s">
        <v>93</v>
      </c>
      <c r="B14" s="134"/>
      <c r="C14" s="134">
        <v>900.4</v>
      </c>
      <c r="D14" s="148">
        <v>21.5</v>
      </c>
      <c r="E14" s="148"/>
      <c r="F14" s="148"/>
      <c r="G14" s="148">
        <v>72</v>
      </c>
      <c r="H14" s="148"/>
      <c r="I14" s="148">
        <v>1500</v>
      </c>
      <c r="J14" s="148"/>
      <c r="K14" s="148"/>
      <c r="L14" s="150"/>
      <c r="M14" s="148"/>
      <c r="N14" s="97">
        <f t="shared" si="0"/>
        <v>2493.9</v>
      </c>
    </row>
    <row r="15" spans="1:14" ht="14.25">
      <c r="A15" s="39" t="s">
        <v>94</v>
      </c>
      <c r="B15" s="134">
        <v>1701.7</v>
      </c>
      <c r="C15" s="134">
        <v>107.3</v>
      </c>
      <c r="D15" s="148">
        <v>2137.8</v>
      </c>
      <c r="E15" s="148">
        <v>1156.3</v>
      </c>
      <c r="F15" s="148">
        <v>995.1</v>
      </c>
      <c r="G15" s="148">
        <v>6526.5</v>
      </c>
      <c r="H15" s="148">
        <v>1400.3</v>
      </c>
      <c r="I15" s="148">
        <v>1068.9</v>
      </c>
      <c r="J15" s="148">
        <v>2272.4</v>
      </c>
      <c r="K15" s="148">
        <v>664.3</v>
      </c>
      <c r="L15" s="150">
        <v>2026.7</v>
      </c>
      <c r="M15" s="148">
        <v>1190</v>
      </c>
      <c r="N15" s="97">
        <f t="shared" si="0"/>
        <v>21247.3</v>
      </c>
    </row>
    <row r="16" spans="1:14" ht="14.25">
      <c r="A16" s="39" t="s">
        <v>95</v>
      </c>
      <c r="B16" s="134"/>
      <c r="C16" s="134"/>
      <c r="D16" s="148"/>
      <c r="E16" s="148"/>
      <c r="F16" s="148"/>
      <c r="G16" s="148"/>
      <c r="H16" s="148">
        <v>207</v>
      </c>
      <c r="I16" s="148"/>
      <c r="J16" s="148"/>
      <c r="K16" s="148"/>
      <c r="L16" s="150"/>
      <c r="M16" s="148"/>
      <c r="N16" s="97">
        <f t="shared" si="0"/>
        <v>207</v>
      </c>
    </row>
    <row r="17" spans="1:14" ht="14.25">
      <c r="A17" s="39" t="s">
        <v>96</v>
      </c>
      <c r="B17" s="134">
        <v>60</v>
      </c>
      <c r="C17" s="134">
        <v>185</v>
      </c>
      <c r="D17" s="148">
        <v>120</v>
      </c>
      <c r="E17" s="148">
        <v>189.8</v>
      </c>
      <c r="F17" s="148">
        <v>223.8</v>
      </c>
      <c r="G17" s="148">
        <v>290</v>
      </c>
      <c r="H17" s="148">
        <v>120</v>
      </c>
      <c r="I17" s="148">
        <v>60</v>
      </c>
      <c r="J17" s="148">
        <v>120</v>
      </c>
      <c r="K17" s="148">
        <v>145.9</v>
      </c>
      <c r="L17" s="150">
        <v>120</v>
      </c>
      <c r="M17" s="148">
        <v>180</v>
      </c>
      <c r="N17" s="97">
        <f t="shared" si="0"/>
        <v>1814.5</v>
      </c>
    </row>
    <row r="18" spans="1:14" ht="14.25">
      <c r="A18" s="39" t="s">
        <v>97</v>
      </c>
      <c r="B18" s="134">
        <v>508</v>
      </c>
      <c r="C18" s="134">
        <v>149.9</v>
      </c>
      <c r="D18" s="148">
        <v>480.5</v>
      </c>
      <c r="E18" s="148">
        <v>108.1</v>
      </c>
      <c r="F18" s="148">
        <v>354.4</v>
      </c>
      <c r="G18" s="148">
        <v>216.5</v>
      </c>
      <c r="H18" s="148">
        <v>380.4</v>
      </c>
      <c r="I18" s="148">
        <v>531.4</v>
      </c>
      <c r="J18" s="148">
        <v>1228.1</v>
      </c>
      <c r="K18" s="148">
        <v>53.1</v>
      </c>
      <c r="L18" s="150">
        <v>565.9</v>
      </c>
      <c r="M18" s="148">
        <v>349.7</v>
      </c>
      <c r="N18" s="97">
        <f t="shared" si="0"/>
        <v>4926</v>
      </c>
    </row>
    <row r="19" spans="1:14" ht="14.25">
      <c r="A19" s="39" t="s">
        <v>98</v>
      </c>
      <c r="B19" s="134">
        <v>660.3</v>
      </c>
      <c r="C19" s="134">
        <v>1421.4</v>
      </c>
      <c r="D19" s="148">
        <v>435</v>
      </c>
      <c r="E19" s="148">
        <v>263.8</v>
      </c>
      <c r="F19" s="148">
        <v>208</v>
      </c>
      <c r="G19" s="148">
        <v>1250.5</v>
      </c>
      <c r="H19" s="148">
        <v>706.8</v>
      </c>
      <c r="I19" s="148">
        <v>218.8</v>
      </c>
      <c r="J19" s="148">
        <v>1244.6</v>
      </c>
      <c r="K19" s="148">
        <v>76.4</v>
      </c>
      <c r="L19" s="150">
        <v>857.3</v>
      </c>
      <c r="M19" s="148">
        <v>238.1</v>
      </c>
      <c r="N19" s="97">
        <f t="shared" si="0"/>
        <v>7581.000000000001</v>
      </c>
    </row>
    <row r="20" spans="1:14" ht="14.25">
      <c r="A20" s="39" t="s">
        <v>99</v>
      </c>
      <c r="B20" s="133">
        <v>2488.5</v>
      </c>
      <c r="C20" s="133">
        <v>1938</v>
      </c>
      <c r="D20" s="148">
        <v>1571</v>
      </c>
      <c r="E20" s="148">
        <v>1602</v>
      </c>
      <c r="F20" s="148">
        <v>1026.5</v>
      </c>
      <c r="G20" s="148">
        <v>4573.6</v>
      </c>
      <c r="H20" s="148">
        <v>1692.1</v>
      </c>
      <c r="I20" s="148">
        <v>615.5</v>
      </c>
      <c r="J20" s="148">
        <v>1403.5</v>
      </c>
      <c r="K20" s="148">
        <v>340.3</v>
      </c>
      <c r="L20" s="150">
        <v>3087.9</v>
      </c>
      <c r="M20" s="148">
        <v>2545.9</v>
      </c>
      <c r="N20" s="98">
        <f t="shared" si="0"/>
        <v>22884.800000000003</v>
      </c>
    </row>
    <row r="21" spans="1:14" ht="14.25">
      <c r="A21" s="40" t="s">
        <v>100</v>
      </c>
      <c r="B21" s="98">
        <f aca="true" t="shared" si="1" ref="B21:M21">SUM(B4:B20)</f>
        <v>28199.899999999998</v>
      </c>
      <c r="C21" s="98">
        <f t="shared" si="1"/>
        <v>128455.2</v>
      </c>
      <c r="D21" s="98">
        <f t="shared" si="1"/>
        <v>31235.399999999998</v>
      </c>
      <c r="E21" s="98">
        <f t="shared" si="1"/>
        <v>24380.299999999996</v>
      </c>
      <c r="F21" s="98">
        <f t="shared" si="1"/>
        <v>23016.1</v>
      </c>
      <c r="G21" s="98">
        <f t="shared" si="1"/>
        <v>79872.4</v>
      </c>
      <c r="H21" s="98">
        <f t="shared" si="1"/>
        <v>27621</v>
      </c>
      <c r="I21" s="98">
        <f t="shared" si="1"/>
        <v>30112.700000000004</v>
      </c>
      <c r="J21" s="98">
        <f t="shared" si="1"/>
        <v>35727.8</v>
      </c>
      <c r="K21" s="98">
        <f t="shared" si="1"/>
        <v>11629.899999999998</v>
      </c>
      <c r="L21" s="98">
        <f t="shared" si="1"/>
        <v>45474.3</v>
      </c>
      <c r="M21" s="98">
        <f t="shared" si="1"/>
        <v>20565.8</v>
      </c>
      <c r="N21" s="98">
        <f>SUM(B21:M21)</f>
        <v>486290.8</v>
      </c>
    </row>
    <row r="22" spans="2:14" ht="14.2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6" ht="14.25">
      <c r="A23" s="116" t="s">
        <v>101</v>
      </c>
      <c r="B23" s="100">
        <f>SUM(B4+B6)</f>
        <v>15591.6</v>
      </c>
      <c r="C23" s="100">
        <f>SUM(C4+C6+C32+C33)</f>
        <v>48313.1</v>
      </c>
      <c r="D23" s="100">
        <f aca="true" t="shared" si="2" ref="D23:L23">SUM(D4+D6)</f>
        <v>17300.4</v>
      </c>
      <c r="E23" s="100">
        <f t="shared" si="2"/>
        <v>12223.9</v>
      </c>
      <c r="F23" s="100">
        <f t="shared" si="2"/>
        <v>13670</v>
      </c>
      <c r="G23" s="100">
        <f>SUM(G4+G6+G32+G33)</f>
        <v>35121.899999999994</v>
      </c>
      <c r="H23" s="100">
        <f t="shared" si="2"/>
        <v>14721</v>
      </c>
      <c r="I23" s="100">
        <f t="shared" si="2"/>
        <v>16477</v>
      </c>
      <c r="J23" s="100">
        <f t="shared" si="2"/>
        <v>21500.2</v>
      </c>
      <c r="K23" s="100">
        <f t="shared" si="2"/>
        <v>6253.5</v>
      </c>
      <c r="L23" s="100">
        <f t="shared" si="2"/>
        <v>20380</v>
      </c>
      <c r="M23" s="100">
        <f>SUM(M4+M6)</f>
        <v>10242.9</v>
      </c>
      <c r="N23" s="99"/>
      <c r="O23" s="41"/>
      <c r="P23" s="41"/>
    </row>
    <row r="24" spans="1:16" ht="14.25">
      <c r="A24" s="117">
        <v>223</v>
      </c>
      <c r="B24" s="100">
        <f>SUM(B9)</f>
        <v>1617.7</v>
      </c>
      <c r="C24" s="100">
        <f>SUM(C9+C34)</f>
        <v>3779.2999999999997</v>
      </c>
      <c r="D24" s="100">
        <f aca="true" t="shared" si="3" ref="D24:L24">SUM(D9)</f>
        <v>1417.1</v>
      </c>
      <c r="E24" s="100">
        <f t="shared" si="3"/>
        <v>1932.6</v>
      </c>
      <c r="F24" s="100">
        <f t="shared" si="3"/>
        <v>1024.2</v>
      </c>
      <c r="G24" s="100">
        <f>SUM(G9+G34)</f>
        <v>5836.9</v>
      </c>
      <c r="H24" s="100">
        <f t="shared" si="3"/>
        <v>1646.9</v>
      </c>
      <c r="I24" s="100">
        <f t="shared" si="3"/>
        <v>1773.4</v>
      </c>
      <c r="J24" s="100">
        <f t="shared" si="3"/>
        <v>3788.9</v>
      </c>
      <c r="K24" s="100">
        <f t="shared" si="3"/>
        <v>798.9</v>
      </c>
      <c r="L24" s="100">
        <f t="shared" si="3"/>
        <v>2318.2</v>
      </c>
      <c r="M24" s="100">
        <f>SUM(M9+M34)</f>
        <v>1540.8</v>
      </c>
      <c r="N24" s="100"/>
      <c r="O24" s="42"/>
      <c r="P24" s="41"/>
    </row>
    <row r="25" spans="1:16" ht="14.25">
      <c r="A25" s="117" t="s">
        <v>102</v>
      </c>
      <c r="B25" s="100">
        <f>SUM(B23/B21)</f>
        <v>0.5528955776438924</v>
      </c>
      <c r="C25" s="100">
        <f>SUM(C23/C21)</f>
        <v>0.37610855769170887</v>
      </c>
      <c r="D25" s="100">
        <f aca="true" t="shared" si="4" ref="D25:M25">SUM(D23/D21)</f>
        <v>0.553871568796942</v>
      </c>
      <c r="E25" s="100">
        <f t="shared" si="4"/>
        <v>0.5013843143849749</v>
      </c>
      <c r="F25" s="100">
        <f t="shared" si="4"/>
        <v>0.5939320736354118</v>
      </c>
      <c r="G25" s="100">
        <f t="shared" si="4"/>
        <v>0.4397251115529269</v>
      </c>
      <c r="H25" s="100">
        <f t="shared" si="4"/>
        <v>0.5329640490930814</v>
      </c>
      <c r="I25" s="100">
        <f t="shared" si="4"/>
        <v>0.5471777688483596</v>
      </c>
      <c r="J25" s="100">
        <f t="shared" si="4"/>
        <v>0.6017778872474655</v>
      </c>
      <c r="K25" s="100">
        <f t="shared" si="4"/>
        <v>0.5377088367053888</v>
      </c>
      <c r="L25" s="100">
        <f t="shared" si="4"/>
        <v>0.44816522739217535</v>
      </c>
      <c r="M25" s="100">
        <f t="shared" si="4"/>
        <v>0.49805502338834373</v>
      </c>
      <c r="N25" s="101">
        <f>SUM(B25:M25)</f>
        <v>6.1837659963806715</v>
      </c>
      <c r="O25" s="43">
        <f>SUM(N25/12)</f>
        <v>0.5153138330317226</v>
      </c>
      <c r="P25" s="44" t="s">
        <v>102</v>
      </c>
    </row>
    <row r="26" spans="1:19" ht="14.25">
      <c r="A26" s="117" t="s">
        <v>103</v>
      </c>
      <c r="B26" s="100">
        <f>SUM(B24/B21)</f>
        <v>0.057365451650537774</v>
      </c>
      <c r="C26" s="100">
        <f aca="true" t="shared" si="5" ref="C26:M26">SUM(C24/C21)</f>
        <v>0.029421152277214157</v>
      </c>
      <c r="D26" s="100">
        <f t="shared" si="5"/>
        <v>0.04536839611466477</v>
      </c>
      <c r="E26" s="100">
        <f t="shared" si="5"/>
        <v>0.07926891793784327</v>
      </c>
      <c r="F26" s="100">
        <f t="shared" si="5"/>
        <v>0.04449928528291066</v>
      </c>
      <c r="G26" s="100">
        <f t="shared" si="5"/>
        <v>0.0730778091055233</v>
      </c>
      <c r="H26" s="100">
        <f t="shared" si="5"/>
        <v>0.059624923065783285</v>
      </c>
      <c r="I26" s="100">
        <f t="shared" si="5"/>
        <v>0.05889209536175766</v>
      </c>
      <c r="J26" s="100">
        <f t="shared" si="5"/>
        <v>0.10604907103152167</v>
      </c>
      <c r="K26" s="100">
        <f t="shared" si="5"/>
        <v>0.06869362591251861</v>
      </c>
      <c r="L26" s="100">
        <f t="shared" si="5"/>
        <v>0.0509782448547861</v>
      </c>
      <c r="M26" s="100">
        <f t="shared" si="5"/>
        <v>0.07492049908099856</v>
      </c>
      <c r="N26" s="101">
        <f>SUM(B26:M26)</f>
        <v>0.7481594716760598</v>
      </c>
      <c r="O26" s="43">
        <f>SUM(N26/12)</f>
        <v>0.062346622639671646</v>
      </c>
      <c r="P26" s="44" t="s">
        <v>103</v>
      </c>
      <c r="S26" s="119"/>
    </row>
    <row r="27" spans="1:16" ht="14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41"/>
      <c r="P27" s="41"/>
    </row>
    <row r="28" spans="1:16" ht="14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41"/>
      <c r="P28" s="41"/>
    </row>
    <row r="29" spans="1:14" ht="14.25">
      <c r="A29" s="99" t="s">
        <v>122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ht="14.25">
      <c r="A30" s="102">
        <v>241</v>
      </c>
      <c r="B30" s="102"/>
      <c r="C30" s="103">
        <f>C13</f>
        <v>64308</v>
      </c>
      <c r="D30" s="102"/>
      <c r="E30" s="102"/>
      <c r="F30" s="102"/>
      <c r="G30" s="103">
        <f>G13</f>
        <v>19957.8</v>
      </c>
      <c r="H30" s="102"/>
      <c r="I30" s="102"/>
      <c r="J30" s="102"/>
      <c r="K30" s="102"/>
      <c r="L30" s="102"/>
      <c r="M30" s="102"/>
      <c r="N30" s="103">
        <f>C30+G30</f>
        <v>84265.8</v>
      </c>
    </row>
    <row r="31" spans="1:14" ht="14.25">
      <c r="A31" s="99" t="s">
        <v>123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ht="14.25">
      <c r="A32" s="102">
        <v>211</v>
      </c>
      <c r="B32" s="102"/>
      <c r="C32" s="102">
        <v>17952.2</v>
      </c>
      <c r="D32" s="102"/>
      <c r="E32" s="102"/>
      <c r="F32" s="102"/>
      <c r="G32" s="151">
        <v>10424.3</v>
      </c>
      <c r="H32" s="102"/>
      <c r="I32" s="102"/>
      <c r="J32" s="102"/>
      <c r="K32" s="102"/>
      <c r="L32" s="102"/>
      <c r="M32" s="102"/>
      <c r="N32" s="102"/>
    </row>
    <row r="33" spans="1:14" ht="14.25">
      <c r="A33" s="102">
        <v>213</v>
      </c>
      <c r="B33" s="102"/>
      <c r="C33" s="102">
        <v>5285.9</v>
      </c>
      <c r="D33" s="102"/>
      <c r="E33" s="102"/>
      <c r="F33" s="102"/>
      <c r="G33" s="151">
        <v>3089.5</v>
      </c>
      <c r="H33" s="102"/>
      <c r="I33" s="102"/>
      <c r="J33" s="102"/>
      <c r="K33" s="102"/>
      <c r="L33" s="102"/>
      <c r="M33" s="102"/>
      <c r="N33" s="102"/>
    </row>
    <row r="34" spans="1:14" ht="14.25">
      <c r="A34" s="102">
        <v>223</v>
      </c>
      <c r="B34" s="102"/>
      <c r="C34" s="102">
        <v>1371.1</v>
      </c>
      <c r="D34" s="102"/>
      <c r="E34" s="102"/>
      <c r="F34" s="102"/>
      <c r="G34" s="151">
        <v>2606</v>
      </c>
      <c r="H34" s="102"/>
      <c r="I34" s="102"/>
      <c r="J34" s="102"/>
      <c r="K34" s="102"/>
      <c r="L34" s="102"/>
      <c r="M34" s="102"/>
      <c r="N34" s="102"/>
    </row>
    <row r="35" spans="1:7" ht="14.25">
      <c r="A35" s="99"/>
      <c r="C35">
        <f>SUM(C32:C34)</f>
        <v>24609.199999999997</v>
      </c>
      <c r="G35">
        <f>SUM(G32:G34)</f>
        <v>16119.8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0.421875" style="0" customWidth="1"/>
    <col min="2" max="2" width="12.00390625" style="0" customWidth="1"/>
    <col min="3" max="3" width="11.421875" style="0" customWidth="1"/>
    <col min="4" max="4" width="11.421875" style="0" bestFit="1" customWidth="1"/>
    <col min="5" max="5" width="11.421875" style="0" customWidth="1"/>
    <col min="6" max="10" width="11.421875" style="0" bestFit="1" customWidth="1"/>
    <col min="11" max="11" width="8.8515625" style="0" customWidth="1"/>
    <col min="12" max="13" width="11.421875" style="0" bestFit="1" customWidth="1"/>
    <col min="14" max="14" width="10.8515625" style="0" bestFit="1" customWidth="1"/>
    <col min="16" max="16" width="11.8515625" style="0" bestFit="1" customWidth="1"/>
  </cols>
  <sheetData>
    <row r="1" spans="1:14" ht="18">
      <c r="A1" s="167" t="s">
        <v>143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28.5">
      <c r="A2" s="104" t="s">
        <v>104</v>
      </c>
      <c r="B2" s="105" t="s">
        <v>80</v>
      </c>
      <c r="C2" s="109" t="s">
        <v>1</v>
      </c>
      <c r="D2" s="105" t="s">
        <v>9</v>
      </c>
      <c r="E2" s="109" t="s">
        <v>7</v>
      </c>
      <c r="F2" s="105" t="s">
        <v>10</v>
      </c>
      <c r="G2" s="105" t="s">
        <v>14</v>
      </c>
      <c r="H2" s="105" t="s">
        <v>81</v>
      </c>
      <c r="I2" s="105" t="s">
        <v>2</v>
      </c>
      <c r="J2" s="105" t="s">
        <v>6</v>
      </c>
      <c r="K2" s="105" t="s">
        <v>11</v>
      </c>
      <c r="L2" s="105" t="s">
        <v>3</v>
      </c>
      <c r="M2" s="105" t="s">
        <v>4</v>
      </c>
      <c r="N2" s="105" t="s">
        <v>82</v>
      </c>
    </row>
    <row r="3" spans="1:16" ht="15">
      <c r="A3" s="106" t="s">
        <v>105</v>
      </c>
      <c r="B3" s="128">
        <v>11784.3</v>
      </c>
      <c r="C3" s="128">
        <v>27029.2</v>
      </c>
      <c r="D3" s="128">
        <v>13825.7</v>
      </c>
      <c r="E3" s="128">
        <v>10361.4</v>
      </c>
      <c r="F3" s="128">
        <v>11032.1</v>
      </c>
      <c r="G3" s="128">
        <v>24716</v>
      </c>
      <c r="H3" s="128">
        <v>11216.7</v>
      </c>
      <c r="I3" s="128">
        <v>10748.2</v>
      </c>
      <c r="J3" s="128">
        <v>15008.8</v>
      </c>
      <c r="K3" s="128">
        <v>4992.4</v>
      </c>
      <c r="L3" s="129">
        <v>15574.2</v>
      </c>
      <c r="M3" s="128">
        <v>9895.2</v>
      </c>
      <c r="N3" s="127">
        <f>SUM(B3:M3)</f>
        <v>166184.2</v>
      </c>
      <c r="O3" s="48"/>
      <c r="P3" s="121"/>
    </row>
    <row r="4" spans="1:16" ht="15">
      <c r="A4" s="106" t="s">
        <v>124</v>
      </c>
      <c r="B4" s="130">
        <v>113.7</v>
      </c>
      <c r="C4" s="130">
        <v>1147.4</v>
      </c>
      <c r="D4" s="130">
        <v>184.7</v>
      </c>
      <c r="E4" s="130">
        <v>198.2</v>
      </c>
      <c r="F4" s="130">
        <v>169.3</v>
      </c>
      <c r="G4" s="130">
        <v>411.9</v>
      </c>
      <c r="H4" s="130">
        <v>115.5</v>
      </c>
      <c r="I4" s="130">
        <v>169.3</v>
      </c>
      <c r="J4" s="130">
        <v>154.8</v>
      </c>
      <c r="K4" s="130">
        <v>172.4</v>
      </c>
      <c r="L4" s="131">
        <v>157.1</v>
      </c>
      <c r="M4" s="130">
        <v>170.8</v>
      </c>
      <c r="N4" s="127">
        <f aca="true" t="shared" si="0" ref="N4:N12">SUM(B4:M4)</f>
        <v>3165.100000000001</v>
      </c>
      <c r="O4" s="48"/>
      <c r="P4" s="121"/>
    </row>
    <row r="5" spans="1:16" ht="15">
      <c r="A5" s="106" t="s">
        <v>106</v>
      </c>
      <c r="B5" s="130">
        <v>1765.2</v>
      </c>
      <c r="C5" s="130">
        <v>1887.1</v>
      </c>
      <c r="D5" s="130">
        <v>1897.7</v>
      </c>
      <c r="E5" s="130">
        <v>3353.6</v>
      </c>
      <c r="F5" s="130">
        <v>2778.6</v>
      </c>
      <c r="G5" s="130">
        <v>12924.9</v>
      </c>
      <c r="H5" s="130">
        <v>202.3</v>
      </c>
      <c r="I5" s="130">
        <v>2087.2</v>
      </c>
      <c r="J5" s="130">
        <v>242.6</v>
      </c>
      <c r="K5" s="130">
        <v>60.3</v>
      </c>
      <c r="L5" s="131">
        <v>3042.6</v>
      </c>
      <c r="M5" s="130">
        <v>75.3</v>
      </c>
      <c r="N5" s="127">
        <f t="shared" si="0"/>
        <v>30317.399999999994</v>
      </c>
      <c r="O5" s="48"/>
      <c r="P5" s="121"/>
    </row>
    <row r="6" spans="1:16" ht="15">
      <c r="A6" s="106" t="s">
        <v>107</v>
      </c>
      <c r="B6" s="130">
        <v>1978.6</v>
      </c>
      <c r="C6" s="130">
        <v>13587.5</v>
      </c>
      <c r="D6" s="130">
        <v>2101.7</v>
      </c>
      <c r="E6" s="130">
        <v>2895.7</v>
      </c>
      <c r="F6" s="130">
        <v>2480.6</v>
      </c>
      <c r="G6" s="130">
        <v>6814.9</v>
      </c>
      <c r="H6" s="130">
        <v>1439.9</v>
      </c>
      <c r="I6" s="130">
        <v>4847.5</v>
      </c>
      <c r="J6" s="130">
        <v>1779.9</v>
      </c>
      <c r="K6" s="130">
        <v>764.6</v>
      </c>
      <c r="L6" s="131">
        <v>4257.4</v>
      </c>
      <c r="M6" s="130">
        <v>2543.7</v>
      </c>
      <c r="N6" s="127">
        <f t="shared" si="0"/>
        <v>45492</v>
      </c>
      <c r="O6" s="48"/>
      <c r="P6" s="121"/>
    </row>
    <row r="7" spans="1:16" ht="15">
      <c r="A7" s="106" t="s">
        <v>108</v>
      </c>
      <c r="B7" s="130">
        <v>4329.6</v>
      </c>
      <c r="C7" s="130">
        <v>51141.6</v>
      </c>
      <c r="D7" s="130">
        <v>4523.3</v>
      </c>
      <c r="E7" s="130">
        <v>1778.3</v>
      </c>
      <c r="F7" s="130">
        <v>568.5</v>
      </c>
      <c r="G7" s="130">
        <v>10305.9</v>
      </c>
      <c r="H7" s="130">
        <v>4177.2</v>
      </c>
      <c r="I7" s="130">
        <v>2075.4</v>
      </c>
      <c r="J7" s="130">
        <v>2682</v>
      </c>
      <c r="K7" s="130">
        <v>674.9</v>
      </c>
      <c r="L7" s="131">
        <v>11492</v>
      </c>
      <c r="M7" s="130">
        <v>3841.6</v>
      </c>
      <c r="N7" s="127">
        <f t="shared" si="0"/>
        <v>97590.29999999999</v>
      </c>
      <c r="O7" s="48"/>
      <c r="P7" s="121"/>
    </row>
    <row r="8" spans="1:16" ht="15">
      <c r="A8" s="106" t="s">
        <v>109</v>
      </c>
      <c r="B8" s="152"/>
      <c r="C8" s="152"/>
      <c r="D8" s="152"/>
      <c r="E8" s="152"/>
      <c r="F8" s="152"/>
      <c r="G8" s="152"/>
      <c r="H8" s="152"/>
      <c r="I8" s="152"/>
      <c r="J8" s="152"/>
      <c r="K8" s="152">
        <v>560.2</v>
      </c>
      <c r="L8" s="153"/>
      <c r="M8" s="152"/>
      <c r="N8" s="127">
        <f t="shared" si="0"/>
        <v>560.2</v>
      </c>
      <c r="O8" s="48"/>
      <c r="P8" s="121"/>
    </row>
    <row r="9" spans="1:16" ht="15">
      <c r="A9" s="106" t="s">
        <v>110</v>
      </c>
      <c r="B9" s="130">
        <v>538.2</v>
      </c>
      <c r="C9" s="130">
        <v>380.7</v>
      </c>
      <c r="D9" s="130">
        <v>587</v>
      </c>
      <c r="E9" s="130">
        <v>283.5</v>
      </c>
      <c r="F9" s="130">
        <v>484.4</v>
      </c>
      <c r="G9" s="130">
        <v>193.4</v>
      </c>
      <c r="H9" s="130">
        <v>414.3</v>
      </c>
      <c r="I9" s="130">
        <v>356.7</v>
      </c>
      <c r="J9" s="130">
        <v>593.9</v>
      </c>
      <c r="K9" s="130">
        <v>194.1</v>
      </c>
      <c r="L9" s="131">
        <v>736.3</v>
      </c>
      <c r="M9" s="130">
        <v>460.3</v>
      </c>
      <c r="N9" s="127">
        <f t="shared" si="0"/>
        <v>5222.8</v>
      </c>
      <c r="O9" s="48"/>
      <c r="P9" s="121"/>
    </row>
    <row r="10" spans="1:16" ht="15">
      <c r="A10" s="106" t="s">
        <v>111</v>
      </c>
      <c r="B10" s="130">
        <v>6521.3</v>
      </c>
      <c r="C10" s="130">
        <v>31713.7</v>
      </c>
      <c r="D10" s="130">
        <v>7396.3</v>
      </c>
      <c r="E10" s="130">
        <v>4707.7</v>
      </c>
      <c r="F10" s="130">
        <v>4812.1</v>
      </c>
      <c r="G10" s="130">
        <v>22290.5</v>
      </c>
      <c r="H10" s="130">
        <v>9212.9</v>
      </c>
      <c r="I10" s="130">
        <v>9552.1</v>
      </c>
      <c r="J10" s="130">
        <v>14675.1</v>
      </c>
      <c r="K10" s="130">
        <v>3706.3</v>
      </c>
      <c r="L10" s="131">
        <v>9121.9</v>
      </c>
      <c r="M10" s="130">
        <v>3300.9</v>
      </c>
      <c r="N10" s="127">
        <f t="shared" si="0"/>
        <v>127010.8</v>
      </c>
      <c r="O10" s="48"/>
      <c r="P10" s="121"/>
    </row>
    <row r="11" spans="1:16" ht="15">
      <c r="A11" s="106" t="s">
        <v>112</v>
      </c>
      <c r="B11" s="130">
        <v>60</v>
      </c>
      <c r="C11" s="130">
        <v>185</v>
      </c>
      <c r="D11" s="130">
        <v>120</v>
      </c>
      <c r="E11" s="130">
        <v>189.8</v>
      </c>
      <c r="F11" s="130">
        <v>223.8</v>
      </c>
      <c r="G11" s="130">
        <v>290</v>
      </c>
      <c r="H11" s="130">
        <v>120</v>
      </c>
      <c r="I11" s="130">
        <v>60</v>
      </c>
      <c r="J11" s="130">
        <v>120</v>
      </c>
      <c r="K11" s="130">
        <v>145.9</v>
      </c>
      <c r="L11" s="131">
        <v>120</v>
      </c>
      <c r="M11" s="130">
        <v>180</v>
      </c>
      <c r="N11" s="127">
        <f t="shared" si="0"/>
        <v>1814.5</v>
      </c>
      <c r="O11" s="48"/>
      <c r="P11" s="121"/>
    </row>
    <row r="12" spans="1:16" ht="15">
      <c r="A12" s="106" t="s">
        <v>113</v>
      </c>
      <c r="B12" s="130">
        <v>1109</v>
      </c>
      <c r="C12" s="130">
        <v>1383</v>
      </c>
      <c r="D12" s="130">
        <v>599</v>
      </c>
      <c r="E12" s="130">
        <v>612.1</v>
      </c>
      <c r="F12" s="130">
        <v>466.7</v>
      </c>
      <c r="G12" s="130">
        <v>1924.9</v>
      </c>
      <c r="H12" s="130">
        <v>722.2</v>
      </c>
      <c r="I12" s="130">
        <v>216.3</v>
      </c>
      <c r="J12" s="130">
        <v>470.7</v>
      </c>
      <c r="K12" s="130">
        <v>358.8</v>
      </c>
      <c r="L12" s="131">
        <v>972.8</v>
      </c>
      <c r="M12" s="130">
        <v>98</v>
      </c>
      <c r="N12" s="127">
        <f t="shared" si="0"/>
        <v>8933.5</v>
      </c>
      <c r="O12" s="48"/>
      <c r="P12" s="121"/>
    </row>
    <row r="13" spans="1:16" ht="15">
      <c r="A13" s="107" t="s">
        <v>100</v>
      </c>
      <c r="B13" s="127">
        <f aca="true" t="shared" si="1" ref="B13:M13">SUM(B3:B12)</f>
        <v>28199.9</v>
      </c>
      <c r="C13" s="127">
        <f t="shared" si="1"/>
        <v>128455.19999999998</v>
      </c>
      <c r="D13" s="127">
        <f t="shared" si="1"/>
        <v>31235.4</v>
      </c>
      <c r="E13" s="127">
        <f t="shared" si="1"/>
        <v>24380.3</v>
      </c>
      <c r="F13" s="127">
        <f t="shared" si="1"/>
        <v>23016.1</v>
      </c>
      <c r="G13" s="127">
        <f t="shared" si="1"/>
        <v>79872.4</v>
      </c>
      <c r="H13" s="127">
        <f t="shared" si="1"/>
        <v>27620.999999999996</v>
      </c>
      <c r="I13" s="127">
        <f t="shared" si="1"/>
        <v>30112.7</v>
      </c>
      <c r="J13" s="127">
        <f t="shared" si="1"/>
        <v>35727.799999999996</v>
      </c>
      <c r="K13" s="127">
        <f t="shared" si="1"/>
        <v>11629.9</v>
      </c>
      <c r="L13" s="127">
        <f t="shared" si="1"/>
        <v>45474.30000000001</v>
      </c>
      <c r="M13" s="127">
        <f t="shared" si="1"/>
        <v>20565.8</v>
      </c>
      <c r="N13" s="127">
        <f>SUM(B13:M13)</f>
        <v>486290.79999999993</v>
      </c>
      <c r="O13" s="48"/>
      <c r="P13" s="121"/>
    </row>
    <row r="14" spans="1:14" ht="15">
      <c r="A14" s="108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ht="18">
      <c r="A15" s="168" t="s">
        <v>117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</row>
    <row r="16" spans="1:16" ht="14.25">
      <c r="A16" s="77" t="s">
        <v>114</v>
      </c>
      <c r="B16" s="103">
        <f>SUM(B3+B10)</f>
        <v>18305.6</v>
      </c>
      <c r="C16" s="103">
        <f aca="true" t="shared" si="2" ref="C16:N16">SUM(C3+C10)</f>
        <v>58742.9</v>
      </c>
      <c r="D16" s="103">
        <f t="shared" si="2"/>
        <v>21222</v>
      </c>
      <c r="E16" s="103">
        <f t="shared" si="2"/>
        <v>15069.099999999999</v>
      </c>
      <c r="F16" s="103">
        <f t="shared" si="2"/>
        <v>15844.2</v>
      </c>
      <c r="G16" s="103">
        <f t="shared" si="2"/>
        <v>47006.5</v>
      </c>
      <c r="H16" s="103">
        <f t="shared" si="2"/>
        <v>20429.6</v>
      </c>
      <c r="I16" s="103">
        <f t="shared" si="2"/>
        <v>20300.300000000003</v>
      </c>
      <c r="J16" s="103">
        <f t="shared" si="2"/>
        <v>29683.9</v>
      </c>
      <c r="K16" s="103">
        <f t="shared" si="2"/>
        <v>8698.7</v>
      </c>
      <c r="L16" s="103">
        <f t="shared" si="2"/>
        <v>24696.1</v>
      </c>
      <c r="M16" s="103">
        <f t="shared" si="2"/>
        <v>13196.1</v>
      </c>
      <c r="N16" s="103">
        <f t="shared" si="2"/>
        <v>293195</v>
      </c>
      <c r="O16" s="43">
        <f>SUM(N16/N13)</f>
        <v>0.602921132787213</v>
      </c>
      <c r="P16" s="44" t="s">
        <v>115</v>
      </c>
    </row>
    <row r="17" spans="1:14" ht="14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>
        <f>SUM(B16:M16)</f>
        <v>293195</v>
      </c>
    </row>
    <row r="18" spans="1:14" ht="14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ht="18">
      <c r="A19" s="168" t="s">
        <v>118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</row>
    <row r="20" spans="1:14" ht="28.5">
      <c r="A20" s="109" t="s">
        <v>121</v>
      </c>
      <c r="B20" s="110" t="s">
        <v>80</v>
      </c>
      <c r="C20" s="110" t="s">
        <v>1</v>
      </c>
      <c r="D20" s="110" t="s">
        <v>9</v>
      </c>
      <c r="E20" s="110" t="s">
        <v>7</v>
      </c>
      <c r="F20" s="110" t="s">
        <v>10</v>
      </c>
      <c r="G20" s="110" t="s">
        <v>14</v>
      </c>
      <c r="H20" s="110" t="s">
        <v>81</v>
      </c>
      <c r="I20" s="110" t="s">
        <v>2</v>
      </c>
      <c r="J20" s="110" t="s">
        <v>6</v>
      </c>
      <c r="K20" s="110" t="s">
        <v>11</v>
      </c>
      <c r="L20" s="110" t="s">
        <v>3</v>
      </c>
      <c r="M20" s="110" t="s">
        <v>4</v>
      </c>
      <c r="N20" s="110" t="s">
        <v>82</v>
      </c>
    </row>
    <row r="21" spans="1:14" ht="14.25">
      <c r="A21" s="111" t="s">
        <v>147</v>
      </c>
      <c r="B21" s="135"/>
      <c r="C21" s="135"/>
      <c r="D21" s="98"/>
      <c r="E21" s="135"/>
      <c r="F21" s="135"/>
      <c r="G21" s="98"/>
      <c r="H21" s="98">
        <v>664.8</v>
      </c>
      <c r="I21" s="135"/>
      <c r="J21" s="135"/>
      <c r="K21" s="135"/>
      <c r="L21" s="135"/>
      <c r="M21" s="135"/>
      <c r="N21" s="98">
        <f>SUM(B21:M21)</f>
        <v>664.8</v>
      </c>
    </row>
    <row r="22" spans="1:14" ht="14.25">
      <c r="A22" s="111" t="s">
        <v>148</v>
      </c>
      <c r="B22" s="135"/>
      <c r="C22" s="135"/>
      <c r="D22" s="98"/>
      <c r="E22" s="135"/>
      <c r="F22" s="135"/>
      <c r="G22" s="98">
        <v>184.9</v>
      </c>
      <c r="H22" s="98"/>
      <c r="I22" s="135"/>
      <c r="J22" s="135"/>
      <c r="K22" s="135"/>
      <c r="L22" s="135"/>
      <c r="M22" s="135"/>
      <c r="N22" s="98">
        <f aca="true" t="shared" si="3" ref="N22:N27">SUM(B22:M22)</f>
        <v>184.9</v>
      </c>
    </row>
    <row r="23" spans="1:14" ht="14.25">
      <c r="A23" s="111" t="s">
        <v>149</v>
      </c>
      <c r="B23" s="135"/>
      <c r="C23" s="135">
        <v>662.8</v>
      </c>
      <c r="D23" s="98"/>
      <c r="E23" s="135"/>
      <c r="F23" s="135"/>
      <c r="G23" s="98"/>
      <c r="H23" s="98"/>
      <c r="I23" s="135"/>
      <c r="J23" s="135"/>
      <c r="K23" s="135"/>
      <c r="L23" s="135"/>
      <c r="M23" s="135"/>
      <c r="N23" s="98">
        <f t="shared" si="3"/>
        <v>662.8</v>
      </c>
    </row>
    <row r="24" spans="1:14" ht="14.25">
      <c r="A24" s="111" t="s">
        <v>137</v>
      </c>
      <c r="B24" s="135"/>
      <c r="C24" s="135">
        <v>143.2</v>
      </c>
      <c r="D24" s="98"/>
      <c r="E24" s="135"/>
      <c r="F24" s="135"/>
      <c r="G24" s="98"/>
      <c r="H24" s="98"/>
      <c r="I24" s="135"/>
      <c r="J24" s="135"/>
      <c r="K24" s="135"/>
      <c r="L24" s="135"/>
      <c r="M24" s="135"/>
      <c r="N24" s="98">
        <f t="shared" si="3"/>
        <v>143.2</v>
      </c>
    </row>
    <row r="25" spans="1:14" ht="14.25">
      <c r="A25" s="111" t="s">
        <v>150</v>
      </c>
      <c r="B25" s="135">
        <v>95.7</v>
      </c>
      <c r="C25" s="135">
        <v>425.4</v>
      </c>
      <c r="D25" s="98">
        <v>2051.5</v>
      </c>
      <c r="E25" s="135">
        <v>314.2</v>
      </c>
      <c r="F25" s="135">
        <v>50</v>
      </c>
      <c r="G25" s="98">
        <v>1806.1</v>
      </c>
      <c r="H25" s="98">
        <v>1089.7</v>
      </c>
      <c r="I25" s="135">
        <v>136</v>
      </c>
      <c r="J25" s="135">
        <v>132.1</v>
      </c>
      <c r="K25" s="135"/>
      <c r="L25" s="135">
        <v>120.4</v>
      </c>
      <c r="M25" s="135"/>
      <c r="N25" s="98">
        <f t="shared" si="3"/>
        <v>6221.099999999999</v>
      </c>
    </row>
    <row r="26" spans="1:14" ht="14.25">
      <c r="A26" s="111" t="s">
        <v>151</v>
      </c>
      <c r="B26" s="135"/>
      <c r="C26" s="135">
        <v>199.7</v>
      </c>
      <c r="D26" s="98"/>
      <c r="E26" s="135"/>
      <c r="F26" s="135">
        <v>5</v>
      </c>
      <c r="G26" s="98"/>
      <c r="H26" s="98"/>
      <c r="I26" s="135">
        <v>93.5</v>
      </c>
      <c r="J26" s="135"/>
      <c r="K26" s="135">
        <v>175</v>
      </c>
      <c r="L26" s="135"/>
      <c r="M26" s="135">
        <v>1.5</v>
      </c>
      <c r="N26" s="98">
        <f t="shared" si="3"/>
        <v>474.7</v>
      </c>
    </row>
    <row r="27" spans="1:14" ht="14.25">
      <c r="A27" s="111" t="s">
        <v>138</v>
      </c>
      <c r="B27" s="135"/>
      <c r="C27" s="135"/>
      <c r="D27" s="98">
        <v>21.5</v>
      </c>
      <c r="E27" s="135"/>
      <c r="F27" s="135"/>
      <c r="G27" s="98">
        <v>72</v>
      </c>
      <c r="H27" s="98"/>
      <c r="I27" s="135"/>
      <c r="J27" s="135"/>
      <c r="K27" s="135"/>
      <c r="L27" s="135"/>
      <c r="M27" s="135"/>
      <c r="N27" s="98">
        <f t="shared" si="3"/>
        <v>93.5</v>
      </c>
    </row>
    <row r="28" spans="1:16" ht="14.25">
      <c r="A28" s="107" t="s">
        <v>100</v>
      </c>
      <c r="B28" s="112">
        <f aca="true" t="shared" si="4" ref="B28:M28">SUM(B21:B27)</f>
        <v>95.7</v>
      </c>
      <c r="C28" s="112">
        <f t="shared" si="4"/>
        <v>1431.1000000000001</v>
      </c>
      <c r="D28" s="112">
        <f t="shared" si="4"/>
        <v>2073</v>
      </c>
      <c r="E28" s="112">
        <f t="shared" si="4"/>
        <v>314.2</v>
      </c>
      <c r="F28" s="112">
        <f t="shared" si="4"/>
        <v>55</v>
      </c>
      <c r="G28" s="112">
        <f t="shared" si="4"/>
        <v>2063</v>
      </c>
      <c r="H28" s="112">
        <f t="shared" si="4"/>
        <v>1754.5</v>
      </c>
      <c r="I28" s="112">
        <f t="shared" si="4"/>
        <v>229.5</v>
      </c>
      <c r="J28" s="112">
        <f t="shared" si="4"/>
        <v>132.1</v>
      </c>
      <c r="K28" s="112">
        <f t="shared" si="4"/>
        <v>175</v>
      </c>
      <c r="L28" s="112">
        <f t="shared" si="4"/>
        <v>120.4</v>
      </c>
      <c r="M28" s="112">
        <f t="shared" si="4"/>
        <v>1.5</v>
      </c>
      <c r="N28" s="112">
        <f>SUM(B28:M28)</f>
        <v>8445</v>
      </c>
      <c r="O28" s="47">
        <f>SUM(N28/N13)</f>
        <v>0.01736615210487223</v>
      </c>
      <c r="P28" s="44" t="s">
        <v>116</v>
      </c>
    </row>
    <row r="29" spans="1:14" ht="14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ht="14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8">
      <c r="A31" s="168" t="s">
        <v>119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</row>
    <row r="32" spans="1:14" ht="14.25">
      <c r="A32" s="110"/>
      <c r="B32" s="110" t="s">
        <v>80</v>
      </c>
      <c r="C32" s="110" t="s">
        <v>1</v>
      </c>
      <c r="D32" s="110" t="s">
        <v>9</v>
      </c>
      <c r="E32" s="110" t="s">
        <v>7</v>
      </c>
      <c r="F32" s="110" t="s">
        <v>10</v>
      </c>
      <c r="G32" s="110" t="s">
        <v>14</v>
      </c>
      <c r="H32" s="110" t="s">
        <v>81</v>
      </c>
      <c r="I32" s="110" t="s">
        <v>2</v>
      </c>
      <c r="J32" s="110" t="s">
        <v>6</v>
      </c>
      <c r="K32" s="110" t="s">
        <v>11</v>
      </c>
      <c r="L32" s="110" t="s">
        <v>3</v>
      </c>
      <c r="M32" s="110" t="s">
        <v>4</v>
      </c>
      <c r="N32" s="110" t="s">
        <v>82</v>
      </c>
    </row>
    <row r="33" spans="1:16" ht="14.25">
      <c r="A33" s="113"/>
      <c r="B33" s="114">
        <f aca="true" t="shared" si="5" ref="B33:M33">SUM(B13-B16-B28)</f>
        <v>9798.600000000002</v>
      </c>
      <c r="C33" s="114">
        <f t="shared" si="5"/>
        <v>68281.19999999998</v>
      </c>
      <c r="D33" s="114">
        <f t="shared" si="5"/>
        <v>7940.4000000000015</v>
      </c>
      <c r="E33" s="114">
        <f t="shared" si="5"/>
        <v>8997</v>
      </c>
      <c r="F33" s="114">
        <f t="shared" si="5"/>
        <v>7116.899999999998</v>
      </c>
      <c r="G33" s="114">
        <f t="shared" si="5"/>
        <v>30802.899999999994</v>
      </c>
      <c r="H33" s="114">
        <f t="shared" si="5"/>
        <v>5436.899999999998</v>
      </c>
      <c r="I33" s="114">
        <f t="shared" si="5"/>
        <v>9582.899999999998</v>
      </c>
      <c r="J33" s="114">
        <f t="shared" si="5"/>
        <v>5911.799999999994</v>
      </c>
      <c r="K33" s="114">
        <f t="shared" si="5"/>
        <v>2756.199999999999</v>
      </c>
      <c r="L33" s="114">
        <f t="shared" si="5"/>
        <v>20657.80000000001</v>
      </c>
      <c r="M33" s="114">
        <f t="shared" si="5"/>
        <v>7368.199999999999</v>
      </c>
      <c r="N33" s="114">
        <f>SUM(B33:M33)</f>
        <v>184650.8</v>
      </c>
      <c r="O33" s="46">
        <f>SUM(N33/N13)</f>
        <v>0.3797127151079149</v>
      </c>
      <c r="P33" s="44" t="s">
        <v>120</v>
      </c>
    </row>
    <row r="35" ht="14.25">
      <c r="N35" s="48"/>
    </row>
    <row r="36" spans="14:15" ht="14.25">
      <c r="N36" s="48">
        <f>SUM(N16+N28+N33)</f>
        <v>486290.8</v>
      </c>
      <c r="O36" s="119">
        <f>SUM(O16+O28+O33)</f>
        <v>1.0000000000000002</v>
      </c>
    </row>
    <row r="37" ht="14.25">
      <c r="N37" s="45"/>
    </row>
  </sheetData>
  <sheetProtection/>
  <mergeCells count="4">
    <mergeCell ref="A1:N1"/>
    <mergeCell ref="A19:N19"/>
    <mergeCell ref="A31:N31"/>
    <mergeCell ref="A15:N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2016-11-20T06:37:30Z</dcterms:modified>
  <cp:category/>
  <cp:version/>
  <cp:contentType/>
  <cp:contentStatus/>
</cp:coreProperties>
</file>